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ublic_hdd1\Dubravka staro računalo\Moji dokumenti kopija\ZAPISNICI od 03.06.2025\7. sjednica\"/>
    </mc:Choice>
  </mc:AlternateContent>
  <bookViews>
    <workbookView xWindow="0" yWindow="0" windowWidth="28800" windowHeight="12435" activeTab="4"/>
  </bookViews>
  <sheets>
    <sheet name="OPĆI_DIO" sheetId="1" r:id="rId1"/>
    <sheet name="OPĆI DIO " sheetId="9" r:id="rId2"/>
    <sheet name="OPĆI DIO" sheetId="10" r:id="rId3"/>
    <sheet name="OPĆI_DIO_B" sheetId="7" r:id="rId4"/>
    <sheet name="POSEBNI_DIO " sheetId="3" r:id="rId5"/>
    <sheet name="List2" sheetId="11" r:id="rId6"/>
    <sheet name="List1" sheetId="6" state="hidden" r:id="rId7"/>
  </sheets>
  <calcPr calcId="152511"/>
</workbook>
</file>

<file path=xl/calcChain.xml><?xml version="1.0" encoding="utf-8"?>
<calcChain xmlns="http://schemas.openxmlformats.org/spreadsheetml/2006/main">
  <c r="G19" i="10" l="1"/>
  <c r="G18" i="10" s="1"/>
  <c r="F17" i="10"/>
  <c r="G17" i="10" s="1"/>
  <c r="G5" i="10"/>
  <c r="F5" i="10"/>
  <c r="E5" i="10"/>
  <c r="M15" i="9"/>
  <c r="N89" i="3"/>
  <c r="M89" i="3"/>
  <c r="O89" i="3" s="1"/>
  <c r="N76" i="7"/>
  <c r="J37" i="7"/>
  <c r="M14" i="9"/>
  <c r="L32" i="1"/>
  <c r="L43" i="1"/>
  <c r="N43" i="1"/>
  <c r="N22" i="1"/>
  <c r="B12" i="11"/>
  <c r="O477" i="3"/>
  <c r="K477" i="3"/>
  <c r="K476" i="3" s="1"/>
  <c r="N476" i="3"/>
  <c r="N475" i="3" s="1"/>
  <c r="M476" i="3"/>
  <c r="M475" i="3" s="1"/>
  <c r="O179" i="3"/>
  <c r="N178" i="3"/>
  <c r="N177" i="3" s="1"/>
  <c r="M178" i="3"/>
  <c r="M177" i="3" s="1"/>
  <c r="O222" i="3"/>
  <c r="N221" i="3"/>
  <c r="N220" i="3" s="1"/>
  <c r="M221" i="3"/>
  <c r="O203" i="3"/>
  <c r="N202" i="3"/>
  <c r="N201" i="3" s="1"/>
  <c r="M202" i="3"/>
  <c r="M201" i="3" s="1"/>
  <c r="O527" i="3"/>
  <c r="K527" i="3"/>
  <c r="K526" i="3" s="1"/>
  <c r="N526" i="3"/>
  <c r="N525" i="3" s="1"/>
  <c r="M526" i="3"/>
  <c r="M525" i="3" s="1"/>
  <c r="O554" i="3"/>
  <c r="K554" i="3"/>
  <c r="K553" i="3" s="1"/>
  <c r="N553" i="3"/>
  <c r="N552" i="3" s="1"/>
  <c r="M553" i="3"/>
  <c r="M552" i="3" s="1"/>
  <c r="O551" i="3"/>
  <c r="K551" i="3"/>
  <c r="K550" i="3" s="1"/>
  <c r="N550" i="3"/>
  <c r="N549" i="3" s="1"/>
  <c r="M550" i="3"/>
  <c r="M549" i="3" s="1"/>
  <c r="O324" i="3"/>
  <c r="K324" i="3"/>
  <c r="K323" i="3" s="1"/>
  <c r="N323" i="3"/>
  <c r="N322" i="3" s="1"/>
  <c r="M323" i="3"/>
  <c r="M322" i="3" s="1"/>
  <c r="O474" i="3"/>
  <c r="K474" i="3"/>
  <c r="K473" i="3" s="1"/>
  <c r="N473" i="3"/>
  <c r="N472" i="3" s="1"/>
  <c r="M473" i="3"/>
  <c r="M472" i="3" s="1"/>
  <c r="O81" i="3"/>
  <c r="M75" i="3"/>
  <c r="N75" i="3"/>
  <c r="M84" i="3"/>
  <c r="N407" i="3"/>
  <c r="M407" i="3"/>
  <c r="O408" i="3"/>
  <c r="N247" i="3"/>
  <c r="N246" i="3" s="1"/>
  <c r="N252" i="3"/>
  <c r="N251" i="3" s="1"/>
  <c r="N263" i="3"/>
  <c r="N262" i="3" s="1"/>
  <c r="N257" i="3"/>
  <c r="N260" i="3"/>
  <c r="N268" i="3"/>
  <c r="M86" i="3"/>
  <c r="O502" i="3"/>
  <c r="N501" i="3"/>
  <c r="N52" i="1"/>
  <c r="N50" i="1"/>
  <c r="N48" i="1"/>
  <c r="N9" i="7"/>
  <c r="F6" i="10"/>
  <c r="F10" i="10"/>
  <c r="N68" i="7"/>
  <c r="N69" i="7"/>
  <c r="N70" i="7"/>
  <c r="N71" i="7"/>
  <c r="J72" i="7"/>
  <c r="N73" i="7"/>
  <c r="N74" i="7"/>
  <c r="N75" i="7"/>
  <c r="N55" i="7"/>
  <c r="N56" i="7"/>
  <c r="N57" i="7"/>
  <c r="N58" i="7"/>
  <c r="N59" i="7"/>
  <c r="N60" i="7"/>
  <c r="N41" i="7"/>
  <c r="N42" i="7"/>
  <c r="N43" i="7"/>
  <c r="N44" i="7"/>
  <c r="N38" i="7"/>
  <c r="N39" i="7"/>
  <c r="N33" i="7"/>
  <c r="N34" i="7"/>
  <c r="N35" i="7"/>
  <c r="N36" i="7"/>
  <c r="N26" i="7"/>
  <c r="N27" i="7"/>
  <c r="N28" i="7"/>
  <c r="N29" i="7"/>
  <c r="N17" i="7"/>
  <c r="N18" i="7"/>
  <c r="N19" i="7"/>
  <c r="N20" i="7"/>
  <c r="N21" i="7"/>
  <c r="N15" i="7"/>
  <c r="N13" i="7"/>
  <c r="N10" i="7"/>
  <c r="N11" i="7"/>
  <c r="G21" i="10"/>
  <c r="G23" i="10"/>
  <c r="G25" i="10"/>
  <c r="G27" i="10"/>
  <c r="G26" i="10" s="1"/>
  <c r="G9" i="10"/>
  <c r="G8" i="10" s="1"/>
  <c r="G11" i="10"/>
  <c r="G10" i="10" s="1"/>
  <c r="G13" i="10"/>
  <c r="M42" i="9"/>
  <c r="M43" i="9"/>
  <c r="M44" i="9"/>
  <c r="M32" i="9"/>
  <c r="M33" i="9"/>
  <c r="M34" i="9"/>
  <c r="M35" i="9"/>
  <c r="M36" i="9"/>
  <c r="M37" i="9"/>
  <c r="M38" i="9"/>
  <c r="M16" i="9"/>
  <c r="M17" i="9"/>
  <c r="M18" i="9"/>
  <c r="M20" i="9"/>
  <c r="M21" i="9"/>
  <c r="J20" i="1"/>
  <c r="L20" i="1"/>
  <c r="N24" i="1"/>
  <c r="N20" i="1" s="1"/>
  <c r="J26" i="1"/>
  <c r="L26" i="1"/>
  <c r="N28" i="1"/>
  <c r="N30" i="1"/>
  <c r="J32" i="1"/>
  <c r="N39" i="1"/>
  <c r="N41" i="1"/>
  <c r="J43" i="1"/>
  <c r="N288" i="3"/>
  <c r="M288" i="3"/>
  <c r="O289" i="3"/>
  <c r="N283" i="3"/>
  <c r="M283" i="3"/>
  <c r="O284" i="3"/>
  <c r="N290" i="3"/>
  <c r="O291" i="3"/>
  <c r="M290" i="3"/>
  <c r="M287" i="3" s="1"/>
  <c r="O400" i="3"/>
  <c r="K400" i="3"/>
  <c r="K399" i="3" s="1"/>
  <c r="N399" i="3"/>
  <c r="N398" i="3" s="1"/>
  <c r="N397" i="3" s="1"/>
  <c r="M399" i="3"/>
  <c r="M398" i="3" s="1"/>
  <c r="M397" i="3" s="1"/>
  <c r="O286" i="3"/>
  <c r="N285" i="3"/>
  <c r="M285" i="3"/>
  <c r="N273" i="3"/>
  <c r="N272" i="3" s="1"/>
  <c r="N271" i="3" s="1"/>
  <c r="N270" i="3" s="1"/>
  <c r="O274" i="3"/>
  <c r="O269" i="3"/>
  <c r="O410" i="3"/>
  <c r="K410" i="3"/>
  <c r="K409" i="3" s="1"/>
  <c r="N409" i="3"/>
  <c r="M409" i="3"/>
  <c r="M406" i="3" s="1"/>
  <c r="O524" i="3"/>
  <c r="K524" i="3"/>
  <c r="K523" i="3" s="1"/>
  <c r="N523" i="3"/>
  <c r="N522" i="3" s="1"/>
  <c r="M523" i="3"/>
  <c r="M522" i="3" s="1"/>
  <c r="O559" i="3"/>
  <c r="O548" i="3"/>
  <c r="O545" i="3"/>
  <c r="O542" i="3"/>
  <c r="O537" i="3"/>
  <c r="O532" i="3"/>
  <c r="O521" i="3"/>
  <c r="O518" i="3"/>
  <c r="O513" i="3"/>
  <c r="O510" i="3"/>
  <c r="O505" i="3"/>
  <c r="O497" i="3"/>
  <c r="O494" i="3"/>
  <c r="O489" i="3"/>
  <c r="O486" i="3"/>
  <c r="O483" i="3"/>
  <c r="O471" i="3"/>
  <c r="O466" i="3"/>
  <c r="O463" i="3"/>
  <c r="O460" i="3"/>
  <c r="O454" i="3"/>
  <c r="O450" i="3"/>
  <c r="N445" i="3"/>
  <c r="M445" i="3"/>
  <c r="O446" i="3"/>
  <c r="O447" i="3"/>
  <c r="O435" i="3"/>
  <c r="O440" i="3"/>
  <c r="O431" i="3"/>
  <c r="O428" i="3"/>
  <c r="O420" i="3"/>
  <c r="O416" i="3"/>
  <c r="O405" i="3"/>
  <c r="O395" i="3"/>
  <c r="O389" i="3"/>
  <c r="O382" i="3"/>
  <c r="O377" i="3"/>
  <c r="O367" i="3"/>
  <c r="O360" i="3"/>
  <c r="O357" i="3"/>
  <c r="O352" i="3"/>
  <c r="O341" i="3"/>
  <c r="O331" i="3"/>
  <c r="O332" i="3"/>
  <c r="O336" i="3"/>
  <c r="O309" i="3"/>
  <c r="N18" i="11" s="1"/>
  <c r="O303" i="3"/>
  <c r="O297" i="3"/>
  <c r="O279" i="3"/>
  <c r="O264" i="3"/>
  <c r="O261" i="3"/>
  <c r="O258" i="3"/>
  <c r="O248" i="3"/>
  <c r="O250" i="3"/>
  <c r="O253" i="3"/>
  <c r="O168" i="3"/>
  <c r="O171" i="3"/>
  <c r="O176" i="3"/>
  <c r="O240" i="3"/>
  <c r="O235" i="3"/>
  <c r="O227" i="3"/>
  <c r="O230" i="3"/>
  <c r="O219" i="3"/>
  <c r="O214" i="3"/>
  <c r="O211" i="3"/>
  <c r="O208" i="3"/>
  <c r="O194" i="3"/>
  <c r="O197" i="3"/>
  <c r="N199" i="3"/>
  <c r="N198" i="3" s="1"/>
  <c r="O200" i="3"/>
  <c r="O189" i="3"/>
  <c r="O184" i="3"/>
  <c r="N15" i="11" s="1"/>
  <c r="O185" i="3"/>
  <c r="O186" i="3"/>
  <c r="N17" i="11" s="1"/>
  <c r="O163" i="3"/>
  <c r="O160" i="3"/>
  <c r="O154" i="3"/>
  <c r="N10" i="11" s="1"/>
  <c r="O150" i="3"/>
  <c r="O146" i="3"/>
  <c r="O142" i="3"/>
  <c r="O138" i="3"/>
  <c r="O133" i="3"/>
  <c r="N118" i="3"/>
  <c r="N117" i="3" s="1"/>
  <c r="M118" i="3"/>
  <c r="O119" i="3"/>
  <c r="O120" i="3"/>
  <c r="O111" i="3"/>
  <c r="O101" i="3"/>
  <c r="O95" i="3"/>
  <c r="N88" i="3"/>
  <c r="O90" i="3"/>
  <c r="O76" i="3"/>
  <c r="O77" i="3"/>
  <c r="O82" i="3"/>
  <c r="O83" i="3"/>
  <c r="O85" i="3"/>
  <c r="O87" i="3"/>
  <c r="N86" i="3"/>
  <c r="K466" i="3"/>
  <c r="E17" i="10"/>
  <c r="F26" i="10"/>
  <c r="E26" i="10"/>
  <c r="L37" i="7"/>
  <c r="G22" i="10"/>
  <c r="G20" i="10"/>
  <c r="F24" i="10"/>
  <c r="F22" i="10"/>
  <c r="F20" i="10"/>
  <c r="F18" i="10"/>
  <c r="E24" i="10"/>
  <c r="E22" i="10"/>
  <c r="E20" i="10"/>
  <c r="E18" i="10"/>
  <c r="F12" i="10"/>
  <c r="F8" i="10"/>
  <c r="E12" i="10"/>
  <c r="E10" i="10"/>
  <c r="E8" i="10"/>
  <c r="E6" i="10"/>
  <c r="M88" i="3"/>
  <c r="J67" i="7"/>
  <c r="N67" i="7" s="1"/>
  <c r="J40" i="7"/>
  <c r="J32" i="7"/>
  <c r="J25" i="7"/>
  <c r="J16" i="7"/>
  <c r="J8" i="7"/>
  <c r="N167" i="3"/>
  <c r="N159" i="3"/>
  <c r="N234" i="3"/>
  <c r="N233" i="3" s="1"/>
  <c r="N232" i="3" s="1"/>
  <c r="M234" i="3"/>
  <c r="M233" i="3" s="1"/>
  <c r="M232" i="3" s="1"/>
  <c r="N376" i="3"/>
  <c r="M263" i="3"/>
  <c r="M262" i="3" s="1"/>
  <c r="K431" i="3"/>
  <c r="K430" i="3" s="1"/>
  <c r="N430" i="3"/>
  <c r="N429" i="3" s="1"/>
  <c r="M430" i="3"/>
  <c r="M429" i="3" s="1"/>
  <c r="M183" i="3"/>
  <c r="M182" i="3" s="1"/>
  <c r="N183" i="3"/>
  <c r="N239" i="3"/>
  <c r="N238" i="3" s="1"/>
  <c r="N237" i="3" s="1"/>
  <c r="M239" i="3"/>
  <c r="M238" i="3" s="1"/>
  <c r="M237" i="3" s="1"/>
  <c r="N229" i="3"/>
  <c r="N228" i="3" s="1"/>
  <c r="M229" i="3"/>
  <c r="M228" i="3" s="1"/>
  <c r="N226" i="3"/>
  <c r="N225" i="3" s="1"/>
  <c r="N223" i="3" s="1"/>
  <c r="M226" i="3"/>
  <c r="M225" i="3" s="1"/>
  <c r="N218" i="3"/>
  <c r="N217" i="3" s="1"/>
  <c r="M218" i="3"/>
  <c r="M217" i="3" s="1"/>
  <c r="M404" i="3"/>
  <c r="K405" i="3"/>
  <c r="K404" i="3" s="1"/>
  <c r="K401" i="3" s="1"/>
  <c r="N404" i="3"/>
  <c r="K303" i="3"/>
  <c r="K302" i="3" s="1"/>
  <c r="K299" i="3" s="1"/>
  <c r="N302" i="3"/>
  <c r="N301" i="3" s="1"/>
  <c r="N300" i="3" s="1"/>
  <c r="M302" i="3"/>
  <c r="M301" i="3" s="1"/>
  <c r="M300" i="3" s="1"/>
  <c r="M299" i="3" s="1"/>
  <c r="K497" i="3"/>
  <c r="K496" i="3" s="1"/>
  <c r="N496" i="3"/>
  <c r="N495" i="3" s="1"/>
  <c r="M496" i="3"/>
  <c r="M495" i="3" s="1"/>
  <c r="M278" i="3"/>
  <c r="M277" i="3" s="1"/>
  <c r="M276" i="3" s="1"/>
  <c r="M275" i="3" s="1"/>
  <c r="N277" i="3"/>
  <c r="N276" i="3" s="1"/>
  <c r="N275" i="3" s="1"/>
  <c r="M273" i="3"/>
  <c r="M272" i="3" s="1"/>
  <c r="M271" i="3" s="1"/>
  <c r="K396" i="3"/>
  <c r="M199" i="3"/>
  <c r="M198" i="3" s="1"/>
  <c r="K521" i="3"/>
  <c r="K520" i="3" s="1"/>
  <c r="N520" i="3"/>
  <c r="N519" i="3" s="1"/>
  <c r="M520" i="3"/>
  <c r="M519" i="3" s="1"/>
  <c r="K548" i="3"/>
  <c r="K547" i="3" s="1"/>
  <c r="N547" i="3"/>
  <c r="N546" i="3" s="1"/>
  <c r="M547" i="3"/>
  <c r="M546" i="3" s="1"/>
  <c r="K545" i="3"/>
  <c r="K544" i="3" s="1"/>
  <c r="N544" i="3"/>
  <c r="N543" i="3" s="1"/>
  <c r="M544" i="3"/>
  <c r="M543" i="3" s="1"/>
  <c r="L57" i="7"/>
  <c r="J57" i="7"/>
  <c r="L72" i="7"/>
  <c r="L67" i="7"/>
  <c r="L54" i="7"/>
  <c r="L8" i="7"/>
  <c r="L16" i="7"/>
  <c r="L25" i="7"/>
  <c r="L32" i="7"/>
  <c r="L40" i="7"/>
  <c r="K41" i="9"/>
  <c r="I41" i="9"/>
  <c r="K31" i="9"/>
  <c r="I31" i="9"/>
  <c r="O88" i="3" l="1"/>
  <c r="O232" i="3"/>
  <c r="O397" i="3"/>
  <c r="O237" i="3"/>
  <c r="O221" i="3"/>
  <c r="N216" i="3"/>
  <c r="O177" i="3"/>
  <c r="N72" i="7"/>
  <c r="N40" i="7"/>
  <c r="N37" i="7"/>
  <c r="G24" i="10"/>
  <c r="G12" i="10"/>
  <c r="O475" i="3"/>
  <c r="O476" i="3"/>
  <c r="O178" i="3"/>
  <c r="M220" i="3"/>
  <c r="O220" i="3" s="1"/>
  <c r="O201" i="3"/>
  <c r="O202" i="3"/>
  <c r="O525" i="3"/>
  <c r="O526" i="3"/>
  <c r="O552" i="3"/>
  <c r="O553" i="3"/>
  <c r="N12" i="11"/>
  <c r="O549" i="3"/>
  <c r="O550" i="3"/>
  <c r="O322" i="3"/>
  <c r="O323" i="3"/>
  <c r="N19" i="11"/>
  <c r="N11" i="11"/>
  <c r="N16" i="11"/>
  <c r="M74" i="3"/>
  <c r="N14" i="11"/>
  <c r="N8" i="11"/>
  <c r="O75" i="3"/>
  <c r="O472" i="3"/>
  <c r="N9" i="11"/>
  <c r="N406" i="3"/>
  <c r="O406" i="3" s="1"/>
  <c r="N13" i="11"/>
  <c r="O473" i="3"/>
  <c r="N245" i="3"/>
  <c r="N244" i="3" s="1"/>
  <c r="O407" i="3"/>
  <c r="N287" i="3"/>
  <c r="O287" i="3" s="1"/>
  <c r="O288" i="3"/>
  <c r="N16" i="7"/>
  <c r="M41" i="9"/>
  <c r="N26" i="1"/>
  <c r="M31" i="9"/>
  <c r="N32" i="7"/>
  <c r="G6" i="10"/>
  <c r="N32" i="1"/>
  <c r="N8" i="7"/>
  <c r="N25" i="7"/>
  <c r="O283" i="3"/>
  <c r="N282" i="3"/>
  <c r="M282" i="3"/>
  <c r="M281" i="3" s="1"/>
  <c r="O290" i="3"/>
  <c r="O271" i="3"/>
  <c r="O398" i="3"/>
  <c r="O399" i="3"/>
  <c r="O285" i="3"/>
  <c r="O546" i="3"/>
  <c r="O519" i="3"/>
  <c r="O273" i="3"/>
  <c r="O238" i="3"/>
  <c r="O262" i="3"/>
  <c r="O272" i="3"/>
  <c r="N236" i="3"/>
  <c r="O445" i="3"/>
  <c r="O409" i="3"/>
  <c r="O198" i="3"/>
  <c r="O217" i="3"/>
  <c r="O522" i="3"/>
  <c r="O523" i="3"/>
  <c r="O543" i="3"/>
  <c r="O118" i="3"/>
  <c r="O275" i="3"/>
  <c r="O429" i="3"/>
  <c r="O183" i="3"/>
  <c r="O233" i="3"/>
  <c r="O239" i="3"/>
  <c r="O520" i="3"/>
  <c r="M231" i="3"/>
  <c r="O302" i="3"/>
  <c r="O496" i="3"/>
  <c r="M117" i="3"/>
  <c r="O301" i="3"/>
  <c r="O544" i="3"/>
  <c r="O199" i="3"/>
  <c r="O300" i="3"/>
  <c r="O228" i="3"/>
  <c r="O234" i="3"/>
  <c r="O278" i="3"/>
  <c r="O430" i="3"/>
  <c r="O495" i="3"/>
  <c r="O263" i="3"/>
  <c r="O277" i="3"/>
  <c r="O404" i="3"/>
  <c r="O547" i="3"/>
  <c r="O276" i="3"/>
  <c r="O226" i="3"/>
  <c r="O225" i="3"/>
  <c r="O229" i="3"/>
  <c r="O218" i="3"/>
  <c r="M223" i="3"/>
  <c r="O223" i="3" s="1"/>
  <c r="N403" i="3"/>
  <c r="M403" i="3"/>
  <c r="M402" i="3" s="1"/>
  <c r="M401" i="3" s="1"/>
  <c r="N299" i="3"/>
  <c r="O299" i="3" s="1"/>
  <c r="M270" i="3"/>
  <c r="O270" i="3" s="1"/>
  <c r="K13" i="9"/>
  <c r="I13" i="9"/>
  <c r="K19" i="9"/>
  <c r="I19" i="9"/>
  <c r="M216" i="3" l="1"/>
  <c r="O216" i="3" s="1"/>
  <c r="N402" i="3"/>
  <c r="N401" i="3" s="1"/>
  <c r="O401" i="3" s="1"/>
  <c r="N20" i="11"/>
  <c r="N281" i="3"/>
  <c r="N280" i="3" s="1"/>
  <c r="M19" i="9"/>
  <c r="O281" i="3"/>
  <c r="O282" i="3"/>
  <c r="M280" i="3"/>
  <c r="M13" i="9"/>
  <c r="N396" i="3"/>
  <c r="O224" i="3"/>
  <c r="M236" i="3"/>
  <c r="O236" i="3" s="1"/>
  <c r="O117" i="3"/>
  <c r="O403" i="3"/>
  <c r="N215" i="3"/>
  <c r="N231" i="3"/>
  <c r="N359" i="3"/>
  <c r="N358" i="3" s="1"/>
  <c r="M359" i="3"/>
  <c r="K454" i="3"/>
  <c r="P454" i="3" s="1"/>
  <c r="N453" i="3"/>
  <c r="N452" i="3" s="1"/>
  <c r="N451" i="3" s="1"/>
  <c r="M453" i="3"/>
  <c r="N485" i="3"/>
  <c r="O402" i="3" l="1"/>
  <c r="O280" i="3"/>
  <c r="M215" i="3"/>
  <c r="O215" i="3" s="1"/>
  <c r="M358" i="3"/>
  <c r="O358" i="3" s="1"/>
  <c r="O359" i="3"/>
  <c r="M396" i="3"/>
  <c r="O396" i="3" s="1"/>
  <c r="M452" i="3"/>
  <c r="O453" i="3"/>
  <c r="O231" i="3"/>
  <c r="N484" i="3"/>
  <c r="K453" i="3"/>
  <c r="P453" i="3" s="1"/>
  <c r="M72" i="3" l="1"/>
  <c r="B18" i="11"/>
  <c r="M451" i="3"/>
  <c r="O451" i="3" s="1"/>
  <c r="O452" i="3"/>
  <c r="O84" i="3"/>
  <c r="N84" i="3"/>
  <c r="N74" i="3" l="1"/>
  <c r="N72" i="3" s="1"/>
  <c r="O72" i="3" s="1"/>
  <c r="N330" i="3"/>
  <c r="M330" i="3"/>
  <c r="K518" i="3"/>
  <c r="K517" i="3" s="1"/>
  <c r="K514" i="3" s="1"/>
  <c r="N517" i="3"/>
  <c r="N516" i="3" s="1"/>
  <c r="N515" i="3" s="1"/>
  <c r="M517" i="3"/>
  <c r="K494" i="3"/>
  <c r="K493" i="3" s="1"/>
  <c r="N493" i="3"/>
  <c r="M493" i="3"/>
  <c r="M492" i="3" s="1"/>
  <c r="K490" i="3"/>
  <c r="N488" i="3"/>
  <c r="N356" i="3"/>
  <c r="N355" i="3" s="1"/>
  <c r="N354" i="3" s="1"/>
  <c r="N207" i="3"/>
  <c r="N206" i="3" s="1"/>
  <c r="M252" i="3"/>
  <c r="K253" i="3"/>
  <c r="K252" i="3" s="1"/>
  <c r="M268" i="3"/>
  <c r="N267" i="3"/>
  <c r="N266" i="3" s="1"/>
  <c r="M247" i="3"/>
  <c r="N175" i="3"/>
  <c r="N174" i="3" s="1"/>
  <c r="M175" i="3"/>
  <c r="N170" i="3"/>
  <c r="N169" i="3" s="1"/>
  <c r="M170" i="3"/>
  <c r="M167" i="3"/>
  <c r="N166" i="3"/>
  <c r="N162" i="3"/>
  <c r="N161" i="3" s="1"/>
  <c r="N173" i="3" l="1"/>
  <c r="N172" i="3" s="1"/>
  <c r="N71" i="3"/>
  <c r="O247" i="3"/>
  <c r="O330" i="3"/>
  <c r="M516" i="3"/>
  <c r="M515" i="3" s="1"/>
  <c r="O517" i="3"/>
  <c r="M166" i="3"/>
  <c r="O166" i="3" s="1"/>
  <c r="O167" i="3"/>
  <c r="M174" i="3"/>
  <c r="M173" i="3" s="1"/>
  <c r="O175" i="3"/>
  <c r="M267" i="3"/>
  <c r="O268" i="3"/>
  <c r="M491" i="3"/>
  <c r="M490" i="3" s="1"/>
  <c r="N265" i="3"/>
  <c r="M169" i="3"/>
  <c r="O169" i="3" s="1"/>
  <c r="O170" i="3"/>
  <c r="N492" i="3"/>
  <c r="O493" i="3"/>
  <c r="N487" i="3"/>
  <c r="N353" i="3"/>
  <c r="P253" i="3"/>
  <c r="P252" i="3"/>
  <c r="M251" i="3"/>
  <c r="N165" i="3"/>
  <c r="N164" i="3" s="1"/>
  <c r="M485" i="3"/>
  <c r="K465" i="3"/>
  <c r="N465" i="3"/>
  <c r="N464" i="3" s="1"/>
  <c r="M465" i="3"/>
  <c r="M210" i="3"/>
  <c r="N213" i="3"/>
  <c r="N212" i="3" s="1"/>
  <c r="M213" i="3"/>
  <c r="M162" i="3"/>
  <c r="N470" i="3"/>
  <c r="N459" i="3"/>
  <c r="N458" i="3" s="1"/>
  <c r="N375" i="3"/>
  <c r="N374" i="3" s="1"/>
  <c r="N373" i="3" s="1"/>
  <c r="N335" i="3"/>
  <c r="O267" i="3" l="1"/>
  <c r="M266" i="3"/>
  <c r="O266" i="3" s="1"/>
  <c r="O515" i="3"/>
  <c r="N514" i="3"/>
  <c r="M165" i="3"/>
  <c r="M164" i="3" s="1"/>
  <c r="O164" i="3" s="1"/>
  <c r="M212" i="3"/>
  <c r="O212" i="3" s="1"/>
  <c r="O213" i="3"/>
  <c r="M161" i="3"/>
  <c r="O161" i="3" s="1"/>
  <c r="O162" i="3"/>
  <c r="M464" i="3"/>
  <c r="O464" i="3" s="1"/>
  <c r="O465" i="3"/>
  <c r="O174" i="3"/>
  <c r="M484" i="3"/>
  <c r="O484" i="3" s="1"/>
  <c r="O485" i="3"/>
  <c r="O516" i="3"/>
  <c r="O492" i="3"/>
  <c r="N491" i="3"/>
  <c r="O165" i="3" l="1"/>
  <c r="M172" i="3"/>
  <c r="O172" i="3" s="1"/>
  <c r="O173" i="3"/>
  <c r="M514" i="3"/>
  <c r="O514" i="3" s="1"/>
  <c r="M265" i="3"/>
  <c r="O265" i="3" s="1"/>
  <c r="O491" i="3"/>
  <c r="N490" i="3"/>
  <c r="O490" i="3" s="1"/>
  <c r="J54" i="7"/>
  <c r="N54" i="7" s="1"/>
  <c r="N31" i="7"/>
  <c r="N30" i="7" s="1"/>
  <c r="L31" i="7"/>
  <c r="L30" i="7" s="1"/>
  <c r="J31" i="7"/>
  <c r="J30" i="7" s="1"/>
  <c r="N23" i="7"/>
  <c r="N22" i="7" s="1"/>
  <c r="L23" i="7"/>
  <c r="L22" i="7" s="1"/>
  <c r="J23" i="7"/>
  <c r="J22" i="7" s="1"/>
  <c r="J14" i="7"/>
  <c r="N14" i="7" s="1"/>
  <c r="L14" i="7"/>
  <c r="L12" i="7"/>
  <c r="J12" i="7"/>
  <c r="N12" i="7" s="1"/>
  <c r="J7" i="7" l="1"/>
  <c r="L7" i="7"/>
  <c r="N7" i="7" l="1"/>
  <c r="N182" i="3"/>
  <c r="O182" i="3" s="1"/>
  <c r="M159" i="3"/>
  <c r="K75" i="3"/>
  <c r="K71" i="3" s="1"/>
  <c r="K76" i="3"/>
  <c r="K77" i="3"/>
  <c r="O86" i="3"/>
  <c r="N94" i="3"/>
  <c r="K95" i="3"/>
  <c r="K94" i="3" s="1"/>
  <c r="K91" i="3" s="1"/>
  <c r="M94" i="3"/>
  <c r="M93" i="3" s="1"/>
  <c r="N100" i="3"/>
  <c r="N99" i="3" s="1"/>
  <c r="O100" i="3"/>
  <c r="O99" i="3" s="1"/>
  <c r="K101" i="3"/>
  <c r="K100" i="3" s="1"/>
  <c r="M100" i="3"/>
  <c r="M99" i="3" s="1"/>
  <c r="N110" i="3"/>
  <c r="N109" i="3" s="1"/>
  <c r="N108" i="3" s="1"/>
  <c r="N107" i="3" s="1"/>
  <c r="N106" i="3" s="1"/>
  <c r="K111" i="3"/>
  <c r="K110" i="3" s="1"/>
  <c r="K107" i="3" s="1"/>
  <c r="K106" i="3" s="1"/>
  <c r="M110" i="3"/>
  <c r="K119" i="3"/>
  <c r="K120" i="3"/>
  <c r="N132" i="3"/>
  <c r="N131" i="3" s="1"/>
  <c r="N116" i="3" s="1"/>
  <c r="K133" i="3"/>
  <c r="K132" i="3" s="1"/>
  <c r="M132" i="3"/>
  <c r="N137" i="3"/>
  <c r="K138" i="3"/>
  <c r="K137" i="3" s="1"/>
  <c r="M137" i="3"/>
  <c r="N141" i="3"/>
  <c r="N140" i="3" s="1"/>
  <c r="N139" i="3" s="1"/>
  <c r="K142" i="3"/>
  <c r="K141" i="3" s="1"/>
  <c r="M141" i="3"/>
  <c r="N145" i="3"/>
  <c r="N144" i="3" s="1"/>
  <c r="N143" i="3" s="1"/>
  <c r="K146" i="3"/>
  <c r="K145" i="3" s="1"/>
  <c r="M145" i="3"/>
  <c r="N149" i="3"/>
  <c r="N148" i="3" s="1"/>
  <c r="N147" i="3" s="1"/>
  <c r="K150" i="3"/>
  <c r="K149" i="3" s="1"/>
  <c r="M149" i="3"/>
  <c r="N153" i="3"/>
  <c r="N152" i="3" s="1"/>
  <c r="N151" i="3" s="1"/>
  <c r="K154" i="3"/>
  <c r="K153" i="3" s="1"/>
  <c r="M153" i="3"/>
  <c r="N158" i="3"/>
  <c r="K183" i="3"/>
  <c r="K180" i="3"/>
  <c r="K188" i="3"/>
  <c r="M188" i="3"/>
  <c r="N188" i="3"/>
  <c r="N187" i="3" s="1"/>
  <c r="N181" i="3" s="1"/>
  <c r="N193" i="3"/>
  <c r="N192" i="3" s="1"/>
  <c r="M193" i="3"/>
  <c r="N196" i="3"/>
  <c r="N195" i="3" s="1"/>
  <c r="M196" i="3"/>
  <c r="K204" i="3"/>
  <c r="K208" i="3"/>
  <c r="K207" i="3" s="1"/>
  <c r="M207" i="3"/>
  <c r="N210" i="3"/>
  <c r="O210" i="3" s="1"/>
  <c r="K248" i="3"/>
  <c r="K247" i="3" s="1"/>
  <c r="K244" i="3" s="1"/>
  <c r="N256" i="3"/>
  <c r="M257" i="3"/>
  <c r="N259" i="3"/>
  <c r="M260" i="3"/>
  <c r="N296" i="3"/>
  <c r="N293" i="3" s="1"/>
  <c r="N292" i="3" s="1"/>
  <c r="K297" i="3"/>
  <c r="K296" i="3" s="1"/>
  <c r="K293" i="3" s="1"/>
  <c r="K243" i="3" s="1"/>
  <c r="M296" i="3"/>
  <c r="N308" i="3"/>
  <c r="K309" i="3"/>
  <c r="K308" i="3" s="1"/>
  <c r="K305" i="3" s="1"/>
  <c r="K304" i="3" s="1"/>
  <c r="K292" i="3" s="1"/>
  <c r="M308" i="3"/>
  <c r="K327" i="3"/>
  <c r="K331" i="3"/>
  <c r="K330" i="3" s="1"/>
  <c r="M329" i="3"/>
  <c r="N334" i="3"/>
  <c r="N333" i="3" s="1"/>
  <c r="K336" i="3"/>
  <c r="K335" i="3" s="1"/>
  <c r="M335" i="3"/>
  <c r="N340" i="3"/>
  <c r="N339" i="3" s="1"/>
  <c r="N338" i="3" s="1"/>
  <c r="N337" i="3" s="1"/>
  <c r="K341" i="3"/>
  <c r="K340" i="3" s="1"/>
  <c r="K337" i="3" s="1"/>
  <c r="M340" i="3"/>
  <c r="N351" i="3"/>
  <c r="N350" i="3" s="1"/>
  <c r="N349" i="3" s="1"/>
  <c r="N348" i="3" s="1"/>
  <c r="K352" i="3"/>
  <c r="K351" i="3" s="1"/>
  <c r="K348" i="3" s="1"/>
  <c r="M351" i="3"/>
  <c r="M356" i="3"/>
  <c r="N366" i="3"/>
  <c r="N365" i="3" s="1"/>
  <c r="N364" i="3" s="1"/>
  <c r="N363" i="3" s="1"/>
  <c r="K367" i="3"/>
  <c r="K366" i="3" s="1"/>
  <c r="K363" i="3" s="1"/>
  <c r="M366" i="3"/>
  <c r="M376" i="3"/>
  <c r="N381" i="3"/>
  <c r="N380" i="3" s="1"/>
  <c r="N379" i="3" s="1"/>
  <c r="K382" i="3"/>
  <c r="K381" i="3" s="1"/>
  <c r="K378" i="3" s="1"/>
  <c r="M381" i="3"/>
  <c r="N388" i="3"/>
  <c r="K389" i="3"/>
  <c r="K388" i="3" s="1"/>
  <c r="K385" i="3" s="1"/>
  <c r="K384" i="3" s="1"/>
  <c r="M388" i="3"/>
  <c r="N394" i="3"/>
  <c r="N391" i="3" s="1"/>
  <c r="N390" i="3" s="1"/>
  <c r="K395" i="3"/>
  <c r="K394" i="3" s="1"/>
  <c r="K391" i="3" s="1"/>
  <c r="K390" i="3" s="1"/>
  <c r="M394" i="3"/>
  <c r="N415" i="3"/>
  <c r="K416" i="3"/>
  <c r="K415" i="3" s="1"/>
  <c r="K412" i="3" s="1"/>
  <c r="K411" i="3" s="1"/>
  <c r="M415" i="3"/>
  <c r="N419" i="3"/>
  <c r="N418" i="3" s="1"/>
  <c r="N417" i="3" s="1"/>
  <c r="K420" i="3"/>
  <c r="K419" i="3" s="1"/>
  <c r="M419" i="3"/>
  <c r="N427" i="3"/>
  <c r="K428" i="3"/>
  <c r="K427" i="3" s="1"/>
  <c r="K424" i="3" s="1"/>
  <c r="M427" i="3"/>
  <c r="N434" i="3"/>
  <c r="K435" i="3"/>
  <c r="K434" i="3" s="1"/>
  <c r="M434" i="3"/>
  <c r="N439" i="3"/>
  <c r="N438" i="3" s="1"/>
  <c r="K440" i="3"/>
  <c r="K439" i="3" s="1"/>
  <c r="K436" i="3" s="1"/>
  <c r="M439" i="3"/>
  <c r="K441" i="3"/>
  <c r="N444" i="3"/>
  <c r="K447" i="3"/>
  <c r="N449" i="3"/>
  <c r="N448" i="3" s="1"/>
  <c r="K450" i="3"/>
  <c r="K449" i="3" s="1"/>
  <c r="M449" i="3"/>
  <c r="K460" i="3"/>
  <c r="K459" i="3" s="1"/>
  <c r="M459" i="3"/>
  <c r="N462" i="3"/>
  <c r="N461" i="3" s="1"/>
  <c r="N457" i="3" s="1"/>
  <c r="N456" i="3" s="1"/>
  <c r="K463" i="3"/>
  <c r="K462" i="3" s="1"/>
  <c r="M462" i="3"/>
  <c r="N469" i="3"/>
  <c r="K471" i="3"/>
  <c r="K470" i="3" s="1"/>
  <c r="K467" i="3" s="1"/>
  <c r="M470" i="3"/>
  <c r="K479" i="3"/>
  <c r="N482" i="3"/>
  <c r="N481" i="3" s="1"/>
  <c r="N480" i="3" s="1"/>
  <c r="K483" i="3"/>
  <c r="K482" i="3" s="1"/>
  <c r="M482" i="3"/>
  <c r="M488" i="3"/>
  <c r="N500" i="3"/>
  <c r="K502" i="3"/>
  <c r="K501" i="3" s="1"/>
  <c r="K498" i="3" s="1"/>
  <c r="M501" i="3"/>
  <c r="O501" i="3" s="1"/>
  <c r="M504" i="3"/>
  <c r="N504" i="3"/>
  <c r="N503" i="3" s="1"/>
  <c r="K505" i="3"/>
  <c r="K504" i="3" s="1"/>
  <c r="K510" i="3"/>
  <c r="K509" i="3" s="1"/>
  <c r="K506" i="3" s="1"/>
  <c r="M509" i="3"/>
  <c r="M508" i="3" s="1"/>
  <c r="N509" i="3"/>
  <c r="N512" i="3"/>
  <c r="K513" i="3"/>
  <c r="K512" i="3" s="1"/>
  <c r="M512" i="3"/>
  <c r="M511" i="3" s="1"/>
  <c r="K528" i="3"/>
  <c r="N531" i="3"/>
  <c r="N530" i="3" s="1"/>
  <c r="N529" i="3" s="1"/>
  <c r="N528" i="3" s="1"/>
  <c r="K532" i="3"/>
  <c r="K531" i="3" s="1"/>
  <c r="M531" i="3"/>
  <c r="K533" i="3"/>
  <c r="M536" i="3"/>
  <c r="N536" i="3"/>
  <c r="N535" i="3" s="1"/>
  <c r="N534" i="3" s="1"/>
  <c r="K537" i="3"/>
  <c r="K536" i="3" s="1"/>
  <c r="N541" i="3"/>
  <c r="N540" i="3" s="1"/>
  <c r="N539" i="3" s="1"/>
  <c r="K542" i="3"/>
  <c r="K541" i="3" s="1"/>
  <c r="M541" i="3"/>
  <c r="N558" i="3"/>
  <c r="N557" i="3" s="1"/>
  <c r="N556" i="3" s="1"/>
  <c r="K559" i="3"/>
  <c r="K558" i="3" s="1"/>
  <c r="M558" i="3"/>
  <c r="M507" i="3" l="1"/>
  <c r="N442" i="3"/>
  <c r="N441" i="3" s="1"/>
  <c r="N468" i="3"/>
  <c r="N467" i="3" s="1"/>
  <c r="N455" i="3" s="1"/>
  <c r="N157" i="3"/>
  <c r="N191" i="3"/>
  <c r="N190" i="3" s="1"/>
  <c r="N533" i="3"/>
  <c r="M92" i="3"/>
  <c r="M91" i="3" s="1"/>
  <c r="M334" i="3"/>
  <c r="O335" i="3"/>
  <c r="M152" i="3"/>
  <c r="O153" i="3"/>
  <c r="M295" i="3"/>
  <c r="O296" i="3"/>
  <c r="M380" i="3"/>
  <c r="O381" i="3"/>
  <c r="M350" i="3"/>
  <c r="O351" i="3"/>
  <c r="M140" i="3"/>
  <c r="O141" i="3"/>
  <c r="M458" i="3"/>
  <c r="O459" i="3"/>
  <c r="M500" i="3"/>
  <c r="O500" i="3" s="1"/>
  <c r="M469" i="3"/>
  <c r="M468" i="3" s="1"/>
  <c r="O470" i="3"/>
  <c r="M328" i="3"/>
  <c r="M206" i="3"/>
  <c r="O207" i="3"/>
  <c r="M187" i="3"/>
  <c r="M181" i="3" s="1"/>
  <c r="O181" i="3" s="1"/>
  <c r="O188" i="3"/>
  <c r="M148" i="3"/>
  <c r="O149" i="3"/>
  <c r="M414" i="3"/>
  <c r="O415" i="3"/>
  <c r="M355" i="3"/>
  <c r="O356" i="3"/>
  <c r="M448" i="3"/>
  <c r="O448" i="3" s="1"/>
  <c r="O449" i="3"/>
  <c r="M438" i="3"/>
  <c r="O439" i="3"/>
  <c r="M393" i="3"/>
  <c r="M391" i="3"/>
  <c r="O394" i="3"/>
  <c r="M259" i="3"/>
  <c r="O259" i="3" s="1"/>
  <c r="O260" i="3"/>
  <c r="M136" i="3"/>
  <c r="O137" i="3"/>
  <c r="M107" i="3"/>
  <c r="O110" i="3"/>
  <c r="M540" i="3"/>
  <c r="M539" i="3" s="1"/>
  <c r="O541" i="3"/>
  <c r="M503" i="3"/>
  <c r="O503" i="3" s="1"/>
  <c r="O504" i="3"/>
  <c r="N499" i="3"/>
  <c r="N498" i="3" s="1"/>
  <c r="M418" i="3"/>
  <c r="O419" i="3"/>
  <c r="M375" i="3"/>
  <c r="O376" i="3"/>
  <c r="M339" i="3"/>
  <c r="O340" i="3"/>
  <c r="M158" i="3"/>
  <c r="O159" i="3"/>
  <c r="M192" i="3"/>
  <c r="O193" i="3"/>
  <c r="M530" i="3"/>
  <c r="O531" i="3"/>
  <c r="M487" i="3"/>
  <c r="O487" i="3" s="1"/>
  <c r="O488" i="3"/>
  <c r="O366" i="3"/>
  <c r="M307" i="3"/>
  <c r="M306" i="3" s="1"/>
  <c r="O308" i="3"/>
  <c r="M256" i="3"/>
  <c r="O257" i="3"/>
  <c r="M195" i="3"/>
  <c r="O195" i="3" s="1"/>
  <c r="O196" i="3"/>
  <c r="M144" i="3"/>
  <c r="O145" i="3"/>
  <c r="N136" i="3"/>
  <c r="N134" i="3" s="1"/>
  <c r="N115" i="3" s="1"/>
  <c r="N114" i="3" s="1"/>
  <c r="M426" i="3"/>
  <c r="O427" i="3"/>
  <c r="O558" i="3"/>
  <c r="M557" i="3"/>
  <c r="M535" i="3"/>
  <c r="O536" i="3"/>
  <c r="M481" i="3"/>
  <c r="O482" i="3"/>
  <c r="M461" i="3"/>
  <c r="O461" i="3" s="1"/>
  <c r="O462" i="3"/>
  <c r="M433" i="3"/>
  <c r="O434" i="3"/>
  <c r="M387" i="3"/>
  <c r="O388" i="3"/>
  <c r="N255" i="3"/>
  <c r="N254" i="3" s="1"/>
  <c r="M131" i="3"/>
  <c r="M116" i="3" s="1"/>
  <c r="O116" i="3" s="1"/>
  <c r="O132" i="3"/>
  <c r="N511" i="3"/>
  <c r="O511" i="3" s="1"/>
  <c r="O512" i="3"/>
  <c r="N508" i="3"/>
  <c r="O509" i="3"/>
  <c r="N93" i="3"/>
  <c r="O93" i="3" s="1"/>
  <c r="O94" i="3"/>
  <c r="N209" i="3"/>
  <c r="N205" i="3" s="1"/>
  <c r="N387" i="3"/>
  <c r="N386" i="3" s="1"/>
  <c r="N385" i="3"/>
  <c r="N384" i="3" s="1"/>
  <c r="K456" i="3"/>
  <c r="K455" i="3" s="1"/>
  <c r="K446" i="3" s="1"/>
  <c r="K445" i="3" s="1"/>
  <c r="N426" i="3"/>
  <c r="N425" i="3" s="1"/>
  <c r="N555" i="3"/>
  <c r="N479" i="3"/>
  <c r="N414" i="3"/>
  <c r="N413" i="3" s="1"/>
  <c r="N412" i="3" s="1"/>
  <c r="N411" i="3" s="1"/>
  <c r="M246" i="3"/>
  <c r="M209" i="3"/>
  <c r="K118" i="3"/>
  <c r="K115" i="3" s="1"/>
  <c r="K114" i="3" s="1"/>
  <c r="N307" i="3"/>
  <c r="N306" i="3" s="1"/>
  <c r="N305" i="3" s="1"/>
  <c r="N304" i="3" s="1"/>
  <c r="K242" i="3"/>
  <c r="N295" i="3"/>
  <c r="N294" i="3" s="1"/>
  <c r="N393" i="3"/>
  <c r="N392" i="3" s="1"/>
  <c r="K383" i="3"/>
  <c r="N329" i="3"/>
  <c r="N328" i="3" s="1"/>
  <c r="N327" i="3" s="1"/>
  <c r="N326" i="3" s="1"/>
  <c r="N325" i="3" s="1"/>
  <c r="N378" i="3"/>
  <c r="K70" i="3"/>
  <c r="K69" i="3" s="1"/>
  <c r="K68" i="3" s="1"/>
  <c r="K423" i="3"/>
  <c r="K422" i="3" s="1"/>
  <c r="K421" i="3" s="1"/>
  <c r="M365" i="3"/>
  <c r="K326" i="3"/>
  <c r="K325" i="3" s="1"/>
  <c r="N433" i="3"/>
  <c r="N432" i="3" s="1"/>
  <c r="M444" i="3"/>
  <c r="N436" i="3"/>
  <c r="N437" i="3"/>
  <c r="K362" i="3"/>
  <c r="K361" i="3" s="1"/>
  <c r="K155" i="3"/>
  <c r="M109" i="3"/>
  <c r="M480" i="3" l="1"/>
  <c r="O480" i="3" s="1"/>
  <c r="O535" i="3"/>
  <c r="M534" i="3"/>
  <c r="N507" i="3"/>
  <c r="O507" i="3"/>
  <c r="O444" i="3"/>
  <c r="M442" i="3"/>
  <c r="O442" i="3" s="1"/>
  <c r="B27" i="11"/>
  <c r="B29" i="11"/>
  <c r="M157" i="3"/>
  <c r="O157" i="3" s="1"/>
  <c r="B30" i="11"/>
  <c r="M205" i="3"/>
  <c r="O205" i="3" s="1"/>
  <c r="N156" i="3"/>
  <c r="M191" i="3"/>
  <c r="O539" i="3"/>
  <c r="N538" i="3"/>
  <c r="N204" i="3"/>
  <c r="N383" i="3"/>
  <c r="O252" i="3"/>
  <c r="M506" i="3"/>
  <c r="M425" i="3"/>
  <c r="O426" i="3"/>
  <c r="M134" i="3"/>
  <c r="O134" i="3" s="1"/>
  <c r="O136" i="3"/>
  <c r="M147" i="3"/>
  <c r="O147" i="3" s="1"/>
  <c r="O148" i="3"/>
  <c r="M108" i="3"/>
  <c r="O108" i="3" s="1"/>
  <c r="O109" i="3"/>
  <c r="O131" i="3"/>
  <c r="M338" i="3"/>
  <c r="O339" i="3"/>
  <c r="O469" i="3"/>
  <c r="M294" i="3"/>
  <c r="O295" i="3"/>
  <c r="M143" i="3"/>
  <c r="O143" i="3" s="1"/>
  <c r="O144" i="3"/>
  <c r="O209" i="3"/>
  <c r="M245" i="3"/>
  <c r="M244" i="3" s="1"/>
  <c r="O246" i="3"/>
  <c r="N424" i="3"/>
  <c r="N423" i="3" s="1"/>
  <c r="N92" i="3"/>
  <c r="O256" i="3"/>
  <c r="M255" i="3"/>
  <c r="M529" i="3"/>
  <c r="O530" i="3"/>
  <c r="M374" i="3"/>
  <c r="O375" i="3"/>
  <c r="M354" i="3"/>
  <c r="O355" i="3"/>
  <c r="M499" i="3"/>
  <c r="M349" i="3"/>
  <c r="O350" i="3"/>
  <c r="M151" i="3"/>
  <c r="O151" i="3" s="1"/>
  <c r="O152" i="3"/>
  <c r="O74" i="3"/>
  <c r="M386" i="3"/>
  <c r="O387" i="3"/>
  <c r="N180" i="3"/>
  <c r="M390" i="3"/>
  <c r="O390" i="3" s="1"/>
  <c r="O391" i="3"/>
  <c r="O206" i="3"/>
  <c r="M437" i="3"/>
  <c r="O438" i="3"/>
  <c r="M139" i="3"/>
  <c r="O139" i="3" s="1"/>
  <c r="O140" i="3"/>
  <c r="M364" i="3"/>
  <c r="O365" i="3"/>
  <c r="O481" i="3"/>
  <c r="O540" i="3"/>
  <c r="O187" i="3"/>
  <c r="O557" i="3"/>
  <c r="M556" i="3"/>
  <c r="O307" i="3"/>
  <c r="O192" i="3"/>
  <c r="B19" i="11" s="1"/>
  <c r="M417" i="3"/>
  <c r="O417" i="3" s="1"/>
  <c r="O418" i="3"/>
  <c r="M392" i="3"/>
  <c r="O392" i="3" s="1"/>
  <c r="O393" i="3"/>
  <c r="O329" i="3"/>
  <c r="M457" i="3"/>
  <c r="O458" i="3"/>
  <c r="M379" i="3"/>
  <c r="O380" i="3"/>
  <c r="M333" i="3"/>
  <c r="O333" i="3" s="1"/>
  <c r="O334" i="3"/>
  <c r="O158" i="3"/>
  <c r="O433" i="3"/>
  <c r="M432" i="3"/>
  <c r="O432" i="3" s="1"/>
  <c r="M106" i="3"/>
  <c r="O106" i="3" s="1"/>
  <c r="O107" i="3"/>
  <c r="M413" i="3"/>
  <c r="O414" i="3"/>
  <c r="O328" i="3"/>
  <c r="N362" i="3"/>
  <c r="N361" i="3" s="1"/>
  <c r="N506" i="3"/>
  <c r="O508" i="3"/>
  <c r="K113" i="3"/>
  <c r="K112" i="3" s="1"/>
  <c r="K241" i="3"/>
  <c r="O506" i="3" l="1"/>
  <c r="B31" i="11"/>
  <c r="B16" i="11"/>
  <c r="B15" i="11"/>
  <c r="N155" i="3"/>
  <c r="N113" i="3" s="1"/>
  <c r="N112" i="3" s="1"/>
  <c r="M204" i="3"/>
  <c r="O204" i="3" s="1"/>
  <c r="M327" i="3"/>
  <c r="O327" i="3" s="1"/>
  <c r="M378" i="3"/>
  <c r="O378" i="3" s="1"/>
  <c r="O379" i="3"/>
  <c r="M348" i="3"/>
  <c r="O348" i="3" s="1"/>
  <c r="O349" i="3"/>
  <c r="M528" i="3"/>
  <c r="O528" i="3" s="1"/>
  <c r="O529" i="3"/>
  <c r="O534" i="3"/>
  <c r="M533" i="3"/>
  <c r="O533" i="3" s="1"/>
  <c r="M456" i="3"/>
  <c r="O457" i="3"/>
  <c r="O499" i="3"/>
  <c r="M498" i="3"/>
  <c r="O498" i="3" s="1"/>
  <c r="O255" i="3"/>
  <c r="M254" i="3"/>
  <c r="O254" i="3" s="1"/>
  <c r="M467" i="3"/>
  <c r="O467" i="3" s="1"/>
  <c r="O468" i="3"/>
  <c r="M190" i="3"/>
  <c r="O190" i="3" s="1"/>
  <c r="O191" i="3"/>
  <c r="M412" i="3"/>
  <c r="M411" i="3" s="1"/>
  <c r="O411" i="3" s="1"/>
  <c r="O413" i="3"/>
  <c r="O412" i="3" s="1"/>
  <c r="M156" i="3"/>
  <c r="M305" i="3"/>
  <c r="O306" i="3"/>
  <c r="M71" i="3"/>
  <c r="O71" i="3" s="1"/>
  <c r="N91" i="3"/>
  <c r="O92" i="3"/>
  <c r="M337" i="3"/>
  <c r="O337" i="3" s="1"/>
  <c r="O338" i="3"/>
  <c r="M538" i="3"/>
  <c r="O538" i="3" s="1"/>
  <c r="M479" i="3"/>
  <c r="O354" i="3"/>
  <c r="M353" i="3"/>
  <c r="O353" i="3" s="1"/>
  <c r="M115" i="3"/>
  <c r="M436" i="3"/>
  <c r="O436" i="3" s="1"/>
  <c r="O437" i="3"/>
  <c r="M385" i="3"/>
  <c r="O386" i="3"/>
  <c r="O556" i="3"/>
  <c r="M555" i="3"/>
  <c r="O555" i="3" s="1"/>
  <c r="M293" i="3"/>
  <c r="O294" i="3"/>
  <c r="M424" i="3"/>
  <c r="O425" i="3"/>
  <c r="M180" i="3"/>
  <c r="O180" i="3" s="1"/>
  <c r="M363" i="3"/>
  <c r="O364" i="3"/>
  <c r="M373" i="3"/>
  <c r="O373" i="3" s="1"/>
  <c r="O374" i="3"/>
  <c r="M441" i="3"/>
  <c r="O441" i="3" s="1"/>
  <c r="N478" i="3"/>
  <c r="K67" i="3"/>
  <c r="O305" i="3" l="1"/>
  <c r="M304" i="3"/>
  <c r="O304" i="3" s="1"/>
  <c r="O251" i="3"/>
  <c r="B17" i="11" s="1"/>
  <c r="B20" i="11" s="1"/>
  <c r="N243" i="3"/>
  <c r="N242" i="3" s="1"/>
  <c r="N241" i="3" s="1"/>
  <c r="M243" i="3"/>
  <c r="M292" i="3"/>
  <c r="O292" i="3" s="1"/>
  <c r="O293" i="3"/>
  <c r="O91" i="3"/>
  <c r="N70" i="3"/>
  <c r="N69" i="3" s="1"/>
  <c r="N68" i="3" s="1"/>
  <c r="M478" i="3"/>
  <c r="O478" i="3" s="1"/>
  <c r="O479" i="3"/>
  <c r="M70" i="3"/>
  <c r="O456" i="3"/>
  <c r="M455" i="3"/>
  <c r="P456" i="3"/>
  <c r="O385" i="3"/>
  <c r="M384" i="3"/>
  <c r="M114" i="3"/>
  <c r="O115" i="3"/>
  <c r="M362" i="3"/>
  <c r="O363" i="3"/>
  <c r="M326" i="3"/>
  <c r="M423" i="3"/>
  <c r="O424" i="3"/>
  <c r="M155" i="3"/>
  <c r="O155" i="3" s="1"/>
  <c r="O156" i="3"/>
  <c r="N422" i="3"/>
  <c r="O245" i="3" l="1"/>
  <c r="M242" i="3"/>
  <c r="O242" i="3" s="1"/>
  <c r="O243" i="3"/>
  <c r="O423" i="3"/>
  <c r="M422" i="3"/>
  <c r="M421" i="3" s="1"/>
  <c r="M69" i="3"/>
  <c r="O70" i="3"/>
  <c r="O114" i="3"/>
  <c r="M113" i="3"/>
  <c r="O362" i="3"/>
  <c r="M361" i="3"/>
  <c r="O361" i="3" s="1"/>
  <c r="O384" i="3"/>
  <c r="M383" i="3"/>
  <c r="O383" i="3" s="1"/>
  <c r="M325" i="3"/>
  <c r="O325" i="3" s="1"/>
  <c r="O326" i="3"/>
  <c r="O455" i="3"/>
  <c r="P455" i="3"/>
  <c r="N421" i="3"/>
  <c r="O244" i="3"/>
  <c r="P528" i="3"/>
  <c r="O422" i="3" l="1"/>
  <c r="O421" i="3"/>
  <c r="M68" i="3"/>
  <c r="O69" i="3"/>
  <c r="O113" i="3"/>
  <c r="M112" i="3"/>
  <c r="O112" i="3" s="1"/>
  <c r="M241" i="3"/>
  <c r="O241" i="3" s="1"/>
  <c r="N67" i="3"/>
  <c r="P130" i="3"/>
  <c r="P129" i="3"/>
  <c r="P128" i="3"/>
  <c r="P127" i="3"/>
  <c r="P126" i="3"/>
  <c r="P125" i="3"/>
  <c r="P124" i="3"/>
  <c r="P123" i="3"/>
  <c r="P122" i="3"/>
  <c r="P121" i="3"/>
  <c r="M67" i="3" l="1"/>
  <c r="O67" i="3" s="1"/>
  <c r="O68" i="3"/>
  <c r="P119" i="3"/>
  <c r="P146" i="3"/>
  <c r="P435" i="3"/>
  <c r="P154" i="3"/>
  <c r="P208" i="3"/>
  <c r="P428" i="3"/>
  <c r="P416" i="3"/>
  <c r="P77" i="3"/>
  <c r="P366" i="3"/>
  <c r="P248" i="3"/>
  <c r="P395" i="3"/>
  <c r="P420" i="3"/>
  <c r="P389" i="3"/>
  <c r="P348" i="3"/>
  <c r="P331" i="3"/>
  <c r="P142" i="3"/>
  <c r="P336" i="3"/>
  <c r="P352" i="3"/>
  <c r="P394" i="3"/>
  <c r="P330" i="3"/>
  <c r="P106" i="3"/>
  <c r="P335" i="3"/>
  <c r="P309" i="3"/>
  <c r="P107" i="3"/>
  <c r="P133" i="3"/>
  <c r="P388" i="3"/>
  <c r="P111" i="3"/>
  <c r="P382" i="3"/>
  <c r="P367" i="3"/>
  <c r="P110" i="3"/>
  <c r="P459" i="3"/>
  <c r="P341" i="3"/>
  <c r="P460" i="3"/>
  <c r="P297" i="3"/>
  <c r="P381" i="3"/>
  <c r="P440" i="3"/>
  <c r="P137" i="3"/>
  <c r="P138" i="3"/>
  <c r="P150" i="3"/>
  <c r="P120" i="3"/>
  <c r="P419" i="3"/>
  <c r="P153" i="3"/>
  <c r="P132" i="3"/>
  <c r="P141" i="3"/>
  <c r="P308" i="3"/>
  <c r="P415" i="3"/>
  <c r="P340" i="3"/>
  <c r="P145" i="3"/>
  <c r="P427" i="3"/>
  <c r="P434" i="3"/>
  <c r="P378" i="3" l="1"/>
  <c r="P207" i="3"/>
  <c r="P533" i="3"/>
  <c r="P390" i="3"/>
  <c r="P439" i="3"/>
  <c r="P351" i="3"/>
  <c r="P118" i="3"/>
  <c r="P247" i="3"/>
  <c r="P391" i="3"/>
  <c r="P436" i="3"/>
  <c r="P149" i="3"/>
  <c r="P296" i="3"/>
  <c r="P385" i="3"/>
  <c r="P337" i="3"/>
  <c r="P305" i="3"/>
  <c r="P412" i="3"/>
  <c r="P424" i="3"/>
  <c r="P411" i="3"/>
  <c r="P327" i="3" l="1"/>
  <c r="P244" i="3"/>
  <c r="P293" i="3"/>
  <c r="P384" i="3"/>
  <c r="P383" i="3"/>
  <c r="P363" i="3"/>
  <c r="P326" i="3"/>
  <c r="P304" i="3"/>
  <c r="P204" i="3" l="1"/>
  <c r="P441" i="3"/>
  <c r="P115" i="3"/>
  <c r="P243" i="3"/>
  <c r="P423" i="3"/>
  <c r="P325" i="3"/>
  <c r="P114" i="3"/>
  <c r="P292" i="3"/>
  <c r="P362" i="3"/>
  <c r="P422" i="3"/>
  <c r="P421" i="3"/>
  <c r="P242" i="3" l="1"/>
  <c r="P241" i="3"/>
  <c r="P113" i="3"/>
  <c r="P361" i="3"/>
  <c r="P112" i="3"/>
  <c r="P76" i="3"/>
  <c r="P75" i="3" l="1"/>
  <c r="P67" i="3" l="1"/>
  <c r="P71" i="3"/>
  <c r="P70" i="3"/>
  <c r="P69" i="3" l="1"/>
  <c r="P68" i="3"/>
</calcChain>
</file>

<file path=xl/sharedStrings.xml><?xml version="1.0" encoding="utf-8"?>
<sst xmlns="http://schemas.openxmlformats.org/spreadsheetml/2006/main" count="763" uniqueCount="368">
  <si>
    <t xml:space="preserve">                     Članak 1.</t>
  </si>
  <si>
    <t>BROJ</t>
  </si>
  <si>
    <t>Proračun</t>
  </si>
  <si>
    <t>Indeks</t>
  </si>
  <si>
    <t>Proračuna</t>
  </si>
  <si>
    <t>RAČUNA</t>
  </si>
  <si>
    <t>za 2013.</t>
  </si>
  <si>
    <t>14/13</t>
  </si>
  <si>
    <t>Prihodi poslovanja</t>
  </si>
  <si>
    <t>Prihodi od prodaje nefinancijske imovine</t>
  </si>
  <si>
    <t>Rashodi poslovanja</t>
  </si>
  <si>
    <t>Rashodi za nabavu nefinancijske imovine</t>
  </si>
  <si>
    <t>Primici od zaduživanja</t>
  </si>
  <si>
    <t>Izvor</t>
  </si>
  <si>
    <t>Prihodi od poreza</t>
  </si>
  <si>
    <t>Prihodi od imovine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</si>
  <si>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</si>
  <si>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</si>
  <si>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</si>
  <si>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</si>
  <si>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proizvedene dugotrajne imovine</t>
  </si>
  <si>
    <t>Primici od financijske imovine i zaduživanja</t>
  </si>
  <si>
    <t>II.</t>
  </si>
  <si>
    <t>POSEBNI DIO</t>
  </si>
  <si>
    <t>Šifra programska</t>
  </si>
  <si>
    <t>ŠIFRA</t>
  </si>
  <si>
    <t>Program/Projekt</t>
  </si>
  <si>
    <t>Aktivnost</t>
  </si>
  <si>
    <t>VRSTA RASHODA I IZDATAKA</t>
  </si>
  <si>
    <t>UKUPNO RASHODI/ IZDACI</t>
  </si>
  <si>
    <t>Razdjel 001</t>
  </si>
  <si>
    <t>PREDSTAVNIČKA I IZVRŠNA TIJELA OPĆINE</t>
  </si>
  <si>
    <t>Glava 00101</t>
  </si>
  <si>
    <t>Program 1001</t>
  </si>
  <si>
    <t>RAD PREDSTAVNIČKIH I IZVRŠNIH TIJELA</t>
  </si>
  <si>
    <t>A 100101</t>
  </si>
  <si>
    <t>Redovna djelatnost</t>
  </si>
  <si>
    <t>Funkcijska klasifikacija: 0111 Izvršna i zakonodavna tijela</t>
  </si>
  <si>
    <t>A 100102</t>
  </si>
  <si>
    <t>Program 1002</t>
  </si>
  <si>
    <t>PROGRAM POLITIČKIH STRANAKA</t>
  </si>
  <si>
    <t>A 100201</t>
  </si>
  <si>
    <t>Rad političkih stranaka</t>
  </si>
  <si>
    <t>Razdjel 002</t>
  </si>
  <si>
    <t>JEDINSTVENI UPRAVNI ODJEL</t>
  </si>
  <si>
    <t>Glava 00201</t>
  </si>
  <si>
    <t>Program 1003</t>
  </si>
  <si>
    <t>FINANCIRANJE OSNOVNIH AKTIVNOSTI</t>
  </si>
  <si>
    <t>A 100301</t>
  </si>
  <si>
    <t>Redovni poslovi</t>
  </si>
  <si>
    <t>Program 1005</t>
  </si>
  <si>
    <t>PROSTORNO UREĐENJE I UNAPREĐENJE STANOVANJA</t>
  </si>
  <si>
    <t>Funkcijska klasifikacija: 0660 Rashodi vezani za stanovanje i kom. pogodnosti koji nisu drugdje svrstani</t>
  </si>
  <si>
    <t>K 100502</t>
  </si>
  <si>
    <t>Funkcijska klasifikacija: 0620 Razvoj zajednice</t>
  </si>
  <si>
    <t>Razdjel 003</t>
  </si>
  <si>
    <t>Glava 00301</t>
  </si>
  <si>
    <t>Program 1006</t>
  </si>
  <si>
    <t>A 100601</t>
  </si>
  <si>
    <t>Razdjel 004</t>
  </si>
  <si>
    <t>Glava 00401</t>
  </si>
  <si>
    <t>Program 1007</t>
  </si>
  <si>
    <t>A 100701</t>
  </si>
  <si>
    <t>Funkcijska klasifikacija: 0912 Osnovno obrazovanje</t>
  </si>
  <si>
    <t>Program 1008</t>
  </si>
  <si>
    <t>SREDNJOŠKOLSKO I VISOKO OBRAZOVANJE</t>
  </si>
  <si>
    <t>A 100801</t>
  </si>
  <si>
    <t>Stipendije učenika i studenata</t>
  </si>
  <si>
    <t>Izdaci za financjsku imovinu i otplate zajmova</t>
  </si>
  <si>
    <t>SOCIJALNA SKRB</t>
  </si>
  <si>
    <t>Program 1009</t>
  </si>
  <si>
    <t>A 100901</t>
  </si>
  <si>
    <t>A 100902</t>
  </si>
  <si>
    <t>Socijalno humanitarne udruge i programi</t>
  </si>
  <si>
    <t>Funkcijska klasifikacija: 1090 Aktivnosti socijalne zaštite koje nisu drugdje svrstane</t>
  </si>
  <si>
    <t>ZAŠTITA I SIGURNOST</t>
  </si>
  <si>
    <t>Program 1011</t>
  </si>
  <si>
    <t>A 101101</t>
  </si>
  <si>
    <t>Funkcijska klasifikacija: 0220 Civilna obrana</t>
  </si>
  <si>
    <t>Zaštita od požara</t>
  </si>
  <si>
    <t>Funkcijska klasifikacija: 0320 Usluge protupožarne zaštite</t>
  </si>
  <si>
    <t>OSTALE DRUŠTVENE DJELATNOSTI</t>
  </si>
  <si>
    <t>Program 1012</t>
  </si>
  <si>
    <t>PROMICANJE KULTURE</t>
  </si>
  <si>
    <t>A 101201</t>
  </si>
  <si>
    <t>Kultura</t>
  </si>
  <si>
    <t>Funkcijska klasifikacija: 0820 Služba kulture</t>
  </si>
  <si>
    <t>RAZVOJ SPORTA I REKREACIJE</t>
  </si>
  <si>
    <t>Sport i rekreacija</t>
  </si>
  <si>
    <t>Funkcijska klasifikacija: 0810 Službe rekreacije i sporta</t>
  </si>
  <si>
    <t>Program 1014</t>
  </si>
  <si>
    <t>RAZVOJ CIVILNOG DRUŠTVA</t>
  </si>
  <si>
    <t>A 101401</t>
  </si>
  <si>
    <t>Ostale udruge, zajednice i društva</t>
  </si>
  <si>
    <t>Funkcijska klasifikacija: 0840 Religijske i druge službe zajednice</t>
  </si>
  <si>
    <t>KOMUNALNO GOSPODARSTVO</t>
  </si>
  <si>
    <t>Program 1015</t>
  </si>
  <si>
    <t>ODRŽAVANJE KOMUNALNE INFRASTRUKTURE</t>
  </si>
  <si>
    <t>Funkcijska klasifikacija: 0451 Cestovni promet</t>
  </si>
  <si>
    <t>Funkcijska klasifikacija: 0640 Ulična rasvjeta</t>
  </si>
  <si>
    <t>Funkcijska klasifikacija: 0911 Predškolsko obrazovanje</t>
  </si>
  <si>
    <t>Članak 4.</t>
  </si>
  <si>
    <t>Funkcijska klasifikacija: 0660 Rashodi vezani za stanovanje i kom.pogodnosi koji nisu drugdje svrstani</t>
  </si>
  <si>
    <t>Funkcijska klasifikacija: 0131 Opće usluge vezane za službenike</t>
  </si>
  <si>
    <t>Funkcijska klasifikacija: 0112 Financijski i fiskalni poslovi</t>
  </si>
  <si>
    <t>Funkcijska klasifikacija: 0432 Nafta i prirodni plin</t>
  </si>
  <si>
    <t>Funkcijska klasifikacija: 0435 Električna energija</t>
  </si>
  <si>
    <t>Funkcijska klasifikacija: 0460 Komunikacija</t>
  </si>
  <si>
    <t>Funkcijska klasifikacija: 0630 Opskrba vodom</t>
  </si>
  <si>
    <t>Funkcijska klasifikacija: 0950 Obrazovanje koje se ne može definirati po stupnju</t>
  </si>
  <si>
    <t>Funkcijska klasifikacija: 1090 Aktivnosti socijane zaštite koje nisu drugdje svrstane</t>
  </si>
  <si>
    <t>Glava 00302</t>
  </si>
  <si>
    <t>Glava 00303</t>
  </si>
  <si>
    <t>Glava 00304</t>
  </si>
  <si>
    <t>Program 1010</t>
  </si>
  <si>
    <t>A 101001</t>
  </si>
  <si>
    <t>A 101403</t>
  </si>
  <si>
    <t>A 101404</t>
  </si>
  <si>
    <t>Rashodi za nabavu proizv.dugotrajne imovine</t>
  </si>
  <si>
    <t>Pomoći dane u inoz.i unutar općeg proračuna</t>
  </si>
  <si>
    <t>Nak.za potpore građanima, kućan. i udrugama</t>
  </si>
  <si>
    <t>ORGAN. I PROVOĐENJE ZAŠTITE I SPAŠAVANJA</t>
  </si>
  <si>
    <t>Ost.komunalni poslovi koji nisu drugdje svrstani</t>
  </si>
  <si>
    <t>A 101501</t>
  </si>
  <si>
    <t>Pomoći dane u inozemstvo i unutar općeg proračuna</t>
  </si>
  <si>
    <t>Rashodi za dodatna ulagaja na građevinskim objektima</t>
  </si>
  <si>
    <t>Nak.građanima i kućanstvima na temelju osiguranja i dr.naknade</t>
  </si>
  <si>
    <t>Funkcijska klasifikacija: 0860 Rashodi za rekreaciju, kulturu i religiju koji nisu drugdje svrstani</t>
  </si>
  <si>
    <t>Kupnja, opremanje i uređenje društvenih i drugih objekata</t>
  </si>
  <si>
    <t xml:space="preserve">Osnovna škola </t>
  </si>
  <si>
    <t>PREDŠKOLSKO OBRAZOVANJE</t>
  </si>
  <si>
    <t>Dječji vrtić Vrapčić</t>
  </si>
  <si>
    <t>OSNOVNOŠKOSLKO OBRAZOVANJE</t>
  </si>
  <si>
    <t>A 101002</t>
  </si>
  <si>
    <t>Program 1013</t>
  </si>
  <si>
    <t>A 101301</t>
  </si>
  <si>
    <t>K 101601</t>
  </si>
  <si>
    <t>K 100505</t>
  </si>
  <si>
    <t>PROGRAM UNAPREĐENJA POLJOPRIVREDE I ZAŠTITE ZDRAVLJA</t>
  </si>
  <si>
    <t>DRUŠTVENE, SOCIJALNE I DRUGE DJELATNOSTI</t>
  </si>
  <si>
    <t>OPĆINSKO VIJEĆE I OPĆINSKI NAČELNIK</t>
  </si>
  <si>
    <t>I. OPĆI DIO</t>
  </si>
  <si>
    <t>K 100506</t>
  </si>
  <si>
    <t>Održavanje i potrošnja javne rasvjete</t>
  </si>
  <si>
    <t xml:space="preserve">                                                                                            </t>
  </si>
  <si>
    <t>III.</t>
  </si>
  <si>
    <r>
      <rPr>
        <b/>
        <sz val="12"/>
        <color indexed="8"/>
        <rFont val="Calibri"/>
        <family val="2"/>
        <charset val="238"/>
      </rPr>
      <t>ZAVRŠNA ODREDBA</t>
    </r>
    <r>
      <rPr>
        <sz val="12"/>
        <color indexed="8"/>
        <rFont val="Calibri"/>
        <family val="2"/>
        <charset val="238"/>
      </rPr>
      <t xml:space="preserve">                                                                                                </t>
    </r>
  </si>
  <si>
    <t xml:space="preserve">                                                                      OPĆINSKO VIJEĆE OPĆINE KOPRIVNIČKI IVANEC</t>
  </si>
  <si>
    <t xml:space="preserve">                                           PREDSJEDNIK:</t>
  </si>
  <si>
    <t>Kazne, upravne mjere i ostali prihodi</t>
  </si>
  <si>
    <t>Naknade građanima i kućanstvima na temelju osiguranja i dr.nak.</t>
  </si>
  <si>
    <t>A 100903</t>
  </si>
  <si>
    <t>Funkcijska klasifikacija: 0660 Rashodi vezani za stan. I zaj. Koji nisu drugdje svrstani</t>
  </si>
  <si>
    <t>Sistemska deratizacija i dezinsekcija</t>
  </si>
  <si>
    <t>A100501</t>
  </si>
  <si>
    <t>Funkcijska klasifikacija: 1060 Stanovanje</t>
  </si>
  <si>
    <t>A100502</t>
  </si>
  <si>
    <t>Planovi, strategije, dokumentacije i ostalo</t>
  </si>
  <si>
    <t>Sufinanciranje rušenja kuća</t>
  </si>
  <si>
    <t>Izdaci za financijsku imovinu i uplate zajmova</t>
  </si>
  <si>
    <t>Izdaci za otplatu glavnice primljenih kredita</t>
  </si>
  <si>
    <t>K 101606</t>
  </si>
  <si>
    <t>Izbori</t>
  </si>
  <si>
    <t>Funkcijka klasifikacija: 1090 Aktivnosti socijalne zaštite koje nisu drugdje svrstane</t>
  </si>
  <si>
    <t>Modernizacija javne rasvjete (Vinogradska ulica)</t>
  </si>
  <si>
    <t>Subvencije</t>
  </si>
  <si>
    <t>Naknade građanima i kuć. na temelju osiguranja i dr.naknade</t>
  </si>
  <si>
    <t>A 101502</t>
  </si>
  <si>
    <t>PROGRAM 1016 IZGRADNJA KOMUNALNE INFRASTRUKTURE I KUPNJA KOM. OPR</t>
  </si>
  <si>
    <t>Civilna zaštita</t>
  </si>
  <si>
    <t>A101001-1</t>
  </si>
  <si>
    <t>Sufinanciranje rada HGSS-stanice</t>
  </si>
  <si>
    <t>K 101608</t>
  </si>
  <si>
    <t>Kanalizacija Pustakovec-radovi</t>
  </si>
  <si>
    <t>K101609</t>
  </si>
  <si>
    <t>Staza Kunovec 1. FAZA</t>
  </si>
  <si>
    <t>K101610</t>
  </si>
  <si>
    <t>za 2025.</t>
  </si>
  <si>
    <t>A 100905</t>
  </si>
  <si>
    <t>Opremanje ordinacije doktora opće prakse</t>
  </si>
  <si>
    <t>K 101603</t>
  </si>
  <si>
    <t>Nabava komunalne opreme</t>
  </si>
  <si>
    <t>A) SAŽETAK RAČUNA PRIHODA I RASHODA</t>
  </si>
  <si>
    <t>PRIHODI UKUPNO</t>
  </si>
  <si>
    <t>PRIHODI POSLOVANJA</t>
  </si>
  <si>
    <t>RASHODI UKUPNO</t>
  </si>
  <si>
    <t>RASHODI POSLOVANJA</t>
  </si>
  <si>
    <t>RAZLIKA - VIŠAK/MANJAK</t>
  </si>
  <si>
    <t>B) SAŽETAK RAČUNA FINANCIRANJA</t>
  </si>
  <si>
    <t>NETO FINANCIRANJE</t>
  </si>
  <si>
    <t>A)  RAČUN PRIHODA I RASHODA</t>
  </si>
  <si>
    <t>BROJČANA OZNAKA I NAZIV</t>
  </si>
  <si>
    <t>UKUPNO RASHODI</t>
  </si>
  <si>
    <t>01 Opće javne usluge</t>
  </si>
  <si>
    <t>011 Izvršna i zakonodavna tijela, financijski i fiskalni poslovi</t>
  </si>
  <si>
    <t>013 Opće usluge</t>
  </si>
  <si>
    <t>02 Obrana</t>
  </si>
  <si>
    <t>022 Civilna obrana</t>
  </si>
  <si>
    <t>03 Javni red i sigurnost</t>
  </si>
  <si>
    <t>032 Usluge protupožarne zaštite</t>
  </si>
  <si>
    <t>05 Zaštita okoliša</t>
  </si>
  <si>
    <t>051 Gospodarenje otpadom</t>
  </si>
  <si>
    <t>056 Poslovi usluge i zaštite koji nisu drugdje svrstani</t>
  </si>
  <si>
    <t>06 Usluge unapređenja zajednice</t>
  </si>
  <si>
    <t>062 Razvoj zajednice</t>
  </si>
  <si>
    <t>064 Ulična rasvjeta</t>
  </si>
  <si>
    <t>066 Rashodi vezani uz stanovanje i komunalne pogodnosti koji nisu drugdje svrstani</t>
  </si>
  <si>
    <t>07 Zdravstvo</t>
  </si>
  <si>
    <t>076 Poslovi i usluge zdravstva koji nisu drugdje svrstani</t>
  </si>
  <si>
    <t>08 Rekreacija, kultura, religija</t>
  </si>
  <si>
    <t>081 Službe rekreacije i sporta</t>
  </si>
  <si>
    <t>082 Službe kulture</t>
  </si>
  <si>
    <t>084 Religijske i druge službe zajednice</t>
  </si>
  <si>
    <t>09 Obrazovanje</t>
  </si>
  <si>
    <t>10 Socijalna zaštita</t>
  </si>
  <si>
    <t>104 Obitelj i djeca</t>
  </si>
  <si>
    <t>106 Stanovanje</t>
  </si>
  <si>
    <t>B) RAČUN FINANCIRANJA</t>
  </si>
  <si>
    <t>Razred</t>
  </si>
  <si>
    <t>Skupina</t>
  </si>
  <si>
    <t>Naziv</t>
  </si>
  <si>
    <t>Opći prihodi i primici</t>
  </si>
  <si>
    <t>Izdaci za financijsku imov. i otp. zajmova</t>
  </si>
  <si>
    <t>Izdaci za otplatu glav.</t>
  </si>
  <si>
    <t>04 Ekonomski poslovi</t>
  </si>
  <si>
    <t>043 Gorivo i energija</t>
  </si>
  <si>
    <t>046 Komunikacije</t>
  </si>
  <si>
    <t>063 Opskrba vodom</t>
  </si>
  <si>
    <t>091 Predškolsko i osnovnoškolsko obrazovanje</t>
  </si>
  <si>
    <t>095 Ostalo obrazovanje</t>
  </si>
  <si>
    <t>086 Rashodi za rekreaciju, kulturu i religiju koji nisu drugdje svrstani</t>
  </si>
  <si>
    <t>045  Promet</t>
  </si>
  <si>
    <t>Namjenski primici od zaduživanja</t>
  </si>
  <si>
    <t>016 Opće javne usluge koje nisu drugdje svrstane</t>
  </si>
  <si>
    <t>041 Opći poslovi vezani uz rad</t>
  </si>
  <si>
    <t>042 Poljoprivreda, šumsrstvo, ribarstvo</t>
  </si>
  <si>
    <t>101 Bolest i invalidnost</t>
  </si>
  <si>
    <t>D) VIŠEGODIŠNJI PLAN URAVNOTEŽENJA</t>
  </si>
  <si>
    <t>PRIJENOS VIŠKA / MANJKA IZ PRETHODNE (IH) GODINA</t>
  </si>
  <si>
    <t>VIŠAK / MANJAK IZ PRETHODNE (IH) GODINA KOJI ĆE SE RASPOREDITI / POKRITI</t>
  </si>
  <si>
    <t>VIŠAK / MANJAK TEKUĆE GODINE</t>
  </si>
  <si>
    <t>PRIJENOS VIŠKA / MANJKA U SLJEDEĆE RAZDOBLJE</t>
  </si>
  <si>
    <t>PRIJENOS VIŠKA/MANJKA  IZ PRETHODNE GODINE</t>
  </si>
  <si>
    <t>VIŠAK/MANJAK + NETO FINANCIRANJE + PRIJENOS VIŠKA /MANJKA IZ PRETHODNE GODINE - PRIJENOS VIŠKA / MANJKA U SLJEDEĆE RAZDOBLJE</t>
  </si>
  <si>
    <t>C) PRENESENI VIŠAK / MANJAK</t>
  </si>
  <si>
    <t xml:space="preserve">PRIJENOS VIŠKA / MANJKA U SLJEDEĆE RAZDOBLJE </t>
  </si>
  <si>
    <t>Sufinanciranje uređenja nekretnina</t>
  </si>
  <si>
    <t>Sufinanciranje kupnje i izgradnje nekretnina</t>
  </si>
  <si>
    <t>Projekt Zaposli i pomozi 2</t>
  </si>
  <si>
    <t>Kružno gospodarenje zgradama - Sp.objekt Goričko</t>
  </si>
  <si>
    <t>K 101602</t>
  </si>
  <si>
    <t>Modernizacija nerazvrstane ceste Botinovec-Grbaševec</t>
  </si>
  <si>
    <t>K 101605</t>
  </si>
  <si>
    <t>Zacjevljenje Vinogradske ulice Kop. Ivanec</t>
  </si>
  <si>
    <t>LEKOM-GRAD zimska služba, održavanje nerazvrstanih cesta i zelenih površina</t>
  </si>
  <si>
    <t>Naziv prihoda</t>
  </si>
  <si>
    <t>Pomoći iz inozemstva (darovnice) i unutar općeg proračuna</t>
  </si>
  <si>
    <t>Prihodi od administrativnih pristojbi i po posebnim propisima</t>
  </si>
  <si>
    <t>Prihodi od prodaje neproizvedene dugotrajne imovine</t>
  </si>
  <si>
    <t>Prihodi od prodaje proizvedene dugotrajne imovine</t>
  </si>
  <si>
    <t>Naziv rashoda</t>
  </si>
  <si>
    <t>Naknade građanima i kućanstvima na temelju osoiguranja i druge naknade</t>
  </si>
  <si>
    <t>Rashodi za nabavu neproizvedene dugotrajne imovine</t>
  </si>
  <si>
    <t>Rashodi za dodatna ulaganja na nefinancijskoj imovini</t>
  </si>
  <si>
    <t>UKUPNO PRIHODI</t>
  </si>
  <si>
    <t>Brojčana oznaka i naziv</t>
  </si>
  <si>
    <t>PRORAČUN ZA 2025.</t>
  </si>
  <si>
    <t xml:space="preserve">PRORAČUN ZA 2025. </t>
  </si>
  <si>
    <t>10 OPĆI PRIHODI I PRIMITCI</t>
  </si>
  <si>
    <t>40 PRIHODI ZA POSEBNE NAMJENE</t>
  </si>
  <si>
    <t>50 POMOĆI</t>
  </si>
  <si>
    <t>109 Aktivnosti socijalne zaštite koje nisu  drugdje svrstane</t>
  </si>
  <si>
    <t>10</t>
  </si>
  <si>
    <t>80</t>
  </si>
  <si>
    <t>Izdaci za dionice i udjele u glavnici</t>
  </si>
  <si>
    <t>Rashodi za donacije, kazne, naknade šteta i kapitalne pomoći</t>
  </si>
  <si>
    <t>Izdaci za dane zajmove i jamčevne pologe</t>
  </si>
  <si>
    <t>Primljeni povrati glavnica danih zajmova</t>
  </si>
  <si>
    <t xml:space="preserve">Primljeni povrati glavnica danih zajmova </t>
  </si>
  <si>
    <t>A 101202</t>
  </si>
  <si>
    <t>Sportske aktivnosti djece</t>
  </si>
  <si>
    <t>K 100602</t>
  </si>
  <si>
    <t>Dogradnja dječjeg vrtića</t>
  </si>
  <si>
    <t>K 100603</t>
  </si>
  <si>
    <t>Adaptacija postojećeg dječjeg vrtića</t>
  </si>
  <si>
    <t>K 100604</t>
  </si>
  <si>
    <t>Ulaganja u postojeći dječji vrtić</t>
  </si>
  <si>
    <t>K 100605</t>
  </si>
  <si>
    <t>Prenamjena zgrade škole u Kunovcu</t>
  </si>
  <si>
    <t xml:space="preserve">Nova osnovna škola </t>
  </si>
  <si>
    <t>K 100702</t>
  </si>
  <si>
    <t>K 101203</t>
  </si>
  <si>
    <t>K 100508</t>
  </si>
  <si>
    <t>Obnova i opremanje sportske građevine Botinovec</t>
  </si>
  <si>
    <t>Uređenje i opremanje dječjeg igrališta Kunovec</t>
  </si>
  <si>
    <t>K 100509</t>
  </si>
  <si>
    <t>Rekonstrukcija sportskog objekta u Kunovcu</t>
  </si>
  <si>
    <t>K 100510</t>
  </si>
  <si>
    <t>Izgradnja i uređenje ostalih sportskih objekata i igrališta</t>
  </si>
  <si>
    <t>K 101611</t>
  </si>
  <si>
    <t>Izgradnja nogostupa</t>
  </si>
  <si>
    <t>K 100511</t>
  </si>
  <si>
    <t>Dogradnja vatrogasnog doma u Koprivničkom Ivancu</t>
  </si>
  <si>
    <t>Rekonstukcija županijskih i lokalnih cesta, modernizacija ceste Kunovec-Pustakovec</t>
  </si>
  <si>
    <t>IZVOR FINANCIRANJA: 40 PRIHODI ZA POSEBNE NAMJENE</t>
  </si>
  <si>
    <t>IZVOR FINANCIRANJA:  40 PRIHODI ZA POSEBNE NAMJENE</t>
  </si>
  <si>
    <t>IZVOR FINANCIRANJA: 70 PRIHODI OD PRODAJE ILI ZAMJENE NEFINANCIJSKE IMOVINE</t>
  </si>
  <si>
    <t>Radovi na uređenju okoliša i pristupnih cesta O.Š. Kop. Ivanec</t>
  </si>
  <si>
    <t>PRIHODI OD PRODAJE NEFINANCIJSKE IMOVINE</t>
  </si>
  <si>
    <t>RASHODI ZA NABAVU NEFINANCIJSKE IMOVINE</t>
  </si>
  <si>
    <t>PRIMICI OD FINANCIJSKE IMOVINE I ZADUŽIVANJA</t>
  </si>
  <si>
    <t>IZDACI ZA FINANCIJSKU IMOVINU I OTPLATE ZAJMOVA</t>
  </si>
  <si>
    <t>IZVOR FINANCIRANJA: 10 OPĆI PRIHODI I PRIMICI</t>
  </si>
  <si>
    <t>IZVOR FINANCIRANJA: 50 POMOĆI</t>
  </si>
  <si>
    <t>IZVOR FINANCIRANJA: 10 OPĆI PRIHODI I IZDACI</t>
  </si>
  <si>
    <t>IZVOR FINANCIRANJA: 10 OPĆI PRIHODA I PRIMICI</t>
  </si>
  <si>
    <t>IZVOR FINANCIRANJA: 50  POMOĆI</t>
  </si>
  <si>
    <t>IZVOR FINANCIRANJA: 80 NAMJENSKI PRIMICI OD ZADUŽIVANJA</t>
  </si>
  <si>
    <t>IZVOR FINANCIRANJA: 70 PRIHODI OD PRODAJE ILI ZAMJENE NEFINANCIJSKE IMOVNE</t>
  </si>
  <si>
    <t>IZVORI FINANCIRANJA: 40 PRIHODI ZA POSEBNE NAMJENE</t>
  </si>
  <si>
    <t>IZVORI FINANCIRANJA: 50 POMOĆI</t>
  </si>
  <si>
    <t>IZVOR FINANCIRANJA: 70 PRIHODI OD PRODAJE ILI ZAMJENE  NEFINANCIJSKE IMOVINE</t>
  </si>
  <si>
    <t>1 OPĆI PRIHODI I PRIMICI</t>
  </si>
  <si>
    <t>4 PRIHODI ZA POSEBNE NAMJENE</t>
  </si>
  <si>
    <t>5 POMOĆI</t>
  </si>
  <si>
    <t>UKUPNO RAHODI</t>
  </si>
  <si>
    <t xml:space="preserve">08 NAMJENSKI PRIMICI OD ZADUŽIVANJA	</t>
  </si>
  <si>
    <t xml:space="preserve">8 NAMJENSKI PRIMICI OD ZADUŽIVANJA	</t>
  </si>
  <si>
    <t>Članak 2.</t>
  </si>
  <si>
    <r>
      <t xml:space="preserve">                                                                                                  </t>
    </r>
    <r>
      <rPr>
        <b/>
        <sz val="12"/>
        <color indexed="8"/>
        <rFont val="Calibri"/>
        <family val="2"/>
        <charset val="238"/>
      </rPr>
      <t xml:space="preserve">   Članak 3.</t>
    </r>
  </si>
  <si>
    <r>
      <t xml:space="preserve">                                                                                                   </t>
    </r>
    <r>
      <rPr>
        <b/>
        <sz val="12"/>
        <color indexed="8"/>
        <rFont val="Calibri"/>
        <family val="2"/>
        <charset val="238"/>
      </rPr>
      <t xml:space="preserve">   Članak 4.</t>
    </r>
  </si>
  <si>
    <t>Izmjene</t>
  </si>
  <si>
    <t>Novi</t>
  </si>
  <si>
    <t>K 100606</t>
  </si>
  <si>
    <t>Poboljšanja materijalnih uvjeta u dječjim vrtićima</t>
  </si>
  <si>
    <t xml:space="preserve">                                                                              Mihael Sremec, dipl.oec.</t>
  </si>
  <si>
    <t xml:space="preserve">ZA 2025. GODINU </t>
  </si>
  <si>
    <t>POVEĆANJE/ SMANJENJE</t>
  </si>
  <si>
    <t>NOVI PRORAČUN ZA 2025</t>
  </si>
  <si>
    <t>7 PRIHODI OD PRODAJE ILI ZAMJENE NEFINANCIJSKE IMOVINE</t>
  </si>
  <si>
    <t>70 PRIHODI OD PRODAJE ILI ZAMJENE NEFINANCIJSKE IMOVINE</t>
  </si>
  <si>
    <t xml:space="preserve">          Ove Izmjene i dopune Proračuna stupaju na snagu prvog dana od dana objave u "Službenom glasniku Koprivničko-križevačke županije".</t>
  </si>
  <si>
    <t>Prihodi i rashodi po ekonomskoj klasifikaciji utvrđeni u Računu prihoda i rashoda mijenjaju se u A. Računu prihoda i rashoda kako slijedi:</t>
  </si>
  <si>
    <t>Prihodi i rashodi prema izvorima financiranja utvrđeni u Proračunu mijenjaju se kako slijedi:</t>
  </si>
  <si>
    <t>U članku 2. Primici i izdaci po ekonomskoj klasifikaciji utvrđeni u Računu financiranja mijenjaju se kako slijedi:</t>
  </si>
  <si>
    <t>Primici i izdaci prema izvorima financiranja utvrđeni u Proračunu mijenjaju se  kako slijedi:</t>
  </si>
  <si>
    <t>Rashodi prema funkcijskoj klasifikaciji utvrđeni u Proračunu mijenjaju se kako slijedi:</t>
  </si>
  <si>
    <t>U članku 3. Rashodi i izdaci raspoređeni  po korisnicima i programima u Posebnom dijelu Proračuna mijenjaju se kako slijedi:</t>
  </si>
  <si>
    <t>KLASA: 400-01/24-01/9</t>
  </si>
  <si>
    <t>II. IZMJENE I DOPUNE PRORAČUNA OPĆINE KOPRIVNIČKI IVANEC</t>
  </si>
  <si>
    <t>U Proračunu Općine Koprivnički Ivanec za 2025. godinu i projekcijama za 2026. i 2027. godinu ("Službeni glasnik Koprivničko-križevačke županije" broj 30/24 i 20/25 (u daljnjem tekstu Proračun) u članku 1. mijenja se A. Sažetak prihoda i rashoda, B. Sažetak računa financiranja i C. Preneseni višak/manjak kako slijedi:</t>
  </si>
  <si>
    <t>01 OPĆI</t>
  </si>
  <si>
    <t>PRIHODI</t>
  </si>
  <si>
    <t>04 POSEBNE NAMJENE</t>
  </si>
  <si>
    <t>05 POMOĆI</t>
  </si>
  <si>
    <t>07 PRIHODI OD PRODAJE</t>
  </si>
  <si>
    <t>08 NAMJENSKI</t>
  </si>
  <si>
    <t>RASHODI</t>
  </si>
  <si>
    <t>IZVOR FINANCIRANJA: 80 NAMJENSKI PRIHODI I PRIMICI</t>
  </si>
  <si>
    <t>IZVOR FINANCIRANJA:  10 OPĆI PRIHODI I PRIMICI</t>
  </si>
  <si>
    <t>Novi proračun za 2025</t>
  </si>
  <si>
    <t>Temeljni proračun</t>
  </si>
  <si>
    <t>prihodi</t>
  </si>
  <si>
    <t>URBROJ:  2137-9-02-25-3</t>
  </si>
  <si>
    <t xml:space="preserve">Koprivnički Ivanec, 22. prosinac 2025. </t>
  </si>
  <si>
    <t>Na temelju članka 45. Zakona o proračunu ("Narodne novine" broj 144/21) i članka 27. Statuta Općine Koprivnički Ivanec ("Službeni glasnik Koprivničko-križevačke</t>
  </si>
  <si>
    <t>županije" broj  6/13, 3/18, 5/20, 4/21, 4/23. i 5/24-pročišćeni tekst) Općinsko vijeće Općine Koprivnički Ivanec na 7. sjednici održanoj 22. prosinca 2025. godine</t>
  </si>
  <si>
    <t>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</si>
</sst>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[$-41A]General"/>
    <numFmt numFmtId="165" formatCode="[$-41A]#,##0"/>
    <numFmt numFmtId="166" formatCode="[$-41A]0.00"/>
    <numFmt numFmtId="167" formatCode="[$-41A]0"/>
    <numFmt numFmtId="168" formatCode="[$-41A]#,##0.00"/>
    <numFmt numFmtId="169" formatCode="#,##0.00&quot; &quot;[$kn-41A];[Red]&quot;-&quot;#,##0.00&quot; &quot;[$kn-41A]"/>
    <numFmt numFmtId="170" formatCode="#,##0.00_ ;\-#,##0.00\ "/>
    <numFmt numFmtId="171" formatCode="#,##0.00\ &quot;kn&quot;"/>
    <numFmt numFmtId="172" formatCode="#,##0.00\ _k_n"/>
  </numFmts>
  <fonts count="33">
    <font>
      <sz val="11"/>
      <color rgb="FF000000"/>
      <name val="Arial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Arial1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Arial1"/>
      <charset val="238"/>
    </font>
    <font>
      <sz val="11"/>
      <color rgb="FF000000"/>
      <name val="Arial1"/>
      <charset val="238"/>
    </font>
    <font>
      <sz val="12"/>
      <name val="Calibri"/>
      <family val="2"/>
      <charset val="238"/>
      <scheme val="minor"/>
    </font>
    <font>
      <sz val="12"/>
      <name val="Arial1"/>
      <charset val="238"/>
    </font>
    <font>
      <sz val="11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Arial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80808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rgb="FFCCFFFF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 tint="-0.499984740745262"/>
        <bgColor rgb="FFC0C0C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969696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1F1F9"/>
        <bgColor rgb="FFCC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0C0C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3CC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5" fillId="0" borderId="0" applyBorder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169" fontId="7" fillId="0" borderId="0" applyBorder="0" applyProtection="0"/>
    <xf numFmtId="43" fontId="20" fillId="0" borderId="0" applyFont="0" applyFill="0" applyBorder="0" applyAlignment="0" applyProtection="0"/>
    <xf numFmtId="0" fontId="30" fillId="0" borderId="0"/>
    <xf numFmtId="0" fontId="30" fillId="0" borderId="0"/>
  </cellStyleXfs>
  <cellXfs count="370">
    <xf numFmtId="0" fontId="0" fillId="0" borderId="0" xfId="0"/>
    <xf numFmtId="164" fontId="5" fillId="0" borderId="0" xfId="1"/>
    <xf numFmtId="164" fontId="8" fillId="0" borderId="0" xfId="1" applyFont="1"/>
    <xf numFmtId="164" fontId="9" fillId="0" borderId="0" xfId="1" applyFont="1"/>
    <xf numFmtId="164" fontId="10" fillId="0" borderId="0" xfId="1" applyFont="1"/>
    <xf numFmtId="164" fontId="11" fillId="0" borderId="0" xfId="1" applyFont="1"/>
    <xf numFmtId="164" fontId="12" fillId="0" borderId="0" xfId="1" applyFont="1"/>
    <xf numFmtId="164" fontId="13" fillId="2" borderId="0" xfId="1" applyFont="1" applyFill="1"/>
    <xf numFmtId="164" fontId="12" fillId="2" borderId="0" xfId="1" applyFont="1" applyFill="1"/>
    <xf numFmtId="167" fontId="12" fillId="2" borderId="0" xfId="1" applyNumberFormat="1" applyFont="1" applyFill="1"/>
    <xf numFmtId="164" fontId="12" fillId="4" borderId="0" xfId="1" applyFont="1" applyFill="1"/>
    <xf numFmtId="164" fontId="12" fillId="3" borderId="0" xfId="1" applyFont="1" applyFill="1"/>
    <xf numFmtId="164" fontId="12" fillId="5" borderId="0" xfId="1" applyFont="1" applyFill="1"/>
    <xf numFmtId="164" fontId="11" fillId="0" borderId="0" xfId="1" applyFont="1" applyAlignment="1">
      <alignment wrapText="1"/>
    </xf>
    <xf numFmtId="164" fontId="14" fillId="0" borderId="0" xfId="1" applyFont="1" applyAlignment="1">
      <alignment wrapText="1"/>
    </xf>
    <xf numFmtId="164" fontId="9" fillId="2" borderId="0" xfId="1" applyFont="1" applyFill="1"/>
    <xf numFmtId="165" fontId="9" fillId="2" borderId="0" xfId="1" applyNumberFormat="1" applyFont="1" applyFill="1"/>
    <xf numFmtId="165" fontId="9" fillId="2" borderId="0" xfId="1" applyNumberFormat="1" applyFont="1" applyFill="1" applyAlignment="1">
      <alignment horizontal="center"/>
    </xf>
    <xf numFmtId="164" fontId="8" fillId="2" borderId="0" xfId="1" applyFont="1" applyFill="1"/>
    <xf numFmtId="164" fontId="9" fillId="2" borderId="0" xfId="1" applyFont="1" applyFill="1" applyAlignment="1">
      <alignment horizontal="center"/>
    </xf>
    <xf numFmtId="49" fontId="9" fillId="2" borderId="0" xfId="1" applyNumberFormat="1" applyFont="1" applyFill="1" applyAlignment="1">
      <alignment horizontal="center"/>
    </xf>
    <xf numFmtId="165" fontId="9" fillId="4" borderId="0" xfId="1" applyNumberFormat="1" applyFont="1" applyFill="1"/>
    <xf numFmtId="164" fontId="9" fillId="3" borderId="0" xfId="1" applyFont="1" applyFill="1" applyAlignment="1">
      <alignment wrapText="1"/>
    </xf>
    <xf numFmtId="165" fontId="9" fillId="3" borderId="0" xfId="1" applyNumberFormat="1" applyFont="1" applyFill="1"/>
    <xf numFmtId="166" fontId="9" fillId="3" borderId="0" xfId="1" applyNumberFormat="1" applyFont="1" applyFill="1"/>
    <xf numFmtId="164" fontId="9" fillId="2" borderId="0" xfId="1" applyFont="1" applyFill="1" applyAlignment="1">
      <alignment wrapText="1"/>
    </xf>
    <xf numFmtId="166" fontId="9" fillId="2" borderId="0" xfId="1" applyNumberFormat="1" applyFont="1" applyFill="1"/>
    <xf numFmtId="164" fontId="9" fillId="5" borderId="0" xfId="1" applyFont="1" applyFill="1"/>
    <xf numFmtId="164" fontId="9" fillId="5" borderId="0" xfId="1" applyFont="1" applyFill="1" applyAlignment="1">
      <alignment wrapText="1"/>
    </xf>
    <xf numFmtId="165" fontId="9" fillId="5" borderId="0" xfId="1" applyNumberFormat="1" applyFont="1" applyFill="1"/>
    <xf numFmtId="166" fontId="9" fillId="5" borderId="0" xfId="1" applyNumberFormat="1" applyFont="1" applyFill="1"/>
    <xf numFmtId="164" fontId="9" fillId="6" borderId="0" xfId="1" applyFont="1" applyFill="1"/>
    <xf numFmtId="164" fontId="9" fillId="6" borderId="0" xfId="1" applyFont="1" applyFill="1" applyAlignment="1">
      <alignment wrapText="1"/>
    </xf>
    <xf numFmtId="165" fontId="9" fillId="6" borderId="0" xfId="1" applyNumberFormat="1" applyFont="1" applyFill="1"/>
    <xf numFmtId="166" fontId="9" fillId="6" borderId="0" xfId="1" applyNumberFormat="1" applyFont="1" applyFill="1"/>
    <xf numFmtId="164" fontId="9" fillId="0" borderId="0" xfId="1" applyFont="1" applyAlignment="1">
      <alignment horizontal="left" wrapText="1"/>
    </xf>
    <xf numFmtId="164" fontId="9" fillId="0" borderId="0" xfId="1" applyFont="1" applyAlignment="1">
      <alignment wrapText="1"/>
    </xf>
    <xf numFmtId="165" fontId="9" fillId="0" borderId="0" xfId="1" applyNumberFormat="1" applyFont="1" applyAlignment="1">
      <alignment wrapText="1"/>
    </xf>
    <xf numFmtId="166" fontId="9" fillId="0" borderId="0" xfId="1" applyNumberFormat="1" applyFont="1" applyAlignment="1">
      <alignment wrapText="1"/>
    </xf>
    <xf numFmtId="164" fontId="8" fillId="0" borderId="0" xfId="1" applyFont="1" applyAlignment="1">
      <alignment horizontal="right" wrapText="1"/>
    </xf>
    <xf numFmtId="164" fontId="8" fillId="0" borderId="0" xfId="1" applyFont="1" applyAlignment="1">
      <alignment wrapText="1"/>
    </xf>
    <xf numFmtId="165" fontId="8" fillId="0" borderId="0" xfId="1" applyNumberFormat="1" applyFont="1" applyAlignment="1">
      <alignment wrapText="1"/>
    </xf>
    <xf numFmtId="166" fontId="8" fillId="0" borderId="0" xfId="1" applyNumberFormat="1" applyFont="1" applyAlignment="1">
      <alignment wrapText="1"/>
    </xf>
    <xf numFmtId="0" fontId="15" fillId="0" borderId="0" xfId="0" applyFont="1"/>
    <xf numFmtId="0" fontId="16" fillId="0" borderId="0" xfId="0" applyFont="1"/>
    <xf numFmtId="164" fontId="8" fillId="5" borderId="0" xfId="1" applyFont="1" applyFill="1"/>
    <xf numFmtId="164" fontId="8" fillId="3" borderId="0" xfId="1" applyFont="1" applyFill="1"/>
    <xf numFmtId="49" fontId="9" fillId="3" borderId="0" xfId="1" applyNumberFormat="1" applyFont="1" applyFill="1" applyAlignment="1">
      <alignment horizontal="left" wrapText="1"/>
    </xf>
    <xf numFmtId="165" fontId="9" fillId="3" borderId="0" xfId="1" applyNumberFormat="1" applyFont="1" applyFill="1" applyAlignment="1">
      <alignment wrapText="1"/>
    </xf>
    <xf numFmtId="166" fontId="9" fillId="3" borderId="0" xfId="1" applyNumberFormat="1" applyFont="1" applyFill="1" applyAlignment="1">
      <alignment wrapText="1"/>
    </xf>
    <xf numFmtId="164" fontId="8" fillId="2" borderId="0" xfId="1" applyFont="1" applyFill="1" applyAlignment="1">
      <alignment wrapText="1"/>
    </xf>
    <xf numFmtId="165" fontId="9" fillId="2" borderId="0" xfId="1" applyNumberFormat="1" applyFont="1" applyFill="1" applyAlignment="1">
      <alignment wrapText="1"/>
    </xf>
    <xf numFmtId="166" fontId="9" fillId="2" borderId="0" xfId="1" applyNumberFormat="1" applyFont="1" applyFill="1" applyAlignment="1">
      <alignment wrapText="1"/>
    </xf>
    <xf numFmtId="164" fontId="8" fillId="0" borderId="0" xfId="1" applyFont="1" applyAlignment="1">
      <alignment horizontal="left" wrapText="1"/>
    </xf>
    <xf numFmtId="164" fontId="8" fillId="7" borderId="0" xfId="1" applyFont="1" applyFill="1"/>
    <xf numFmtId="164" fontId="9" fillId="7" borderId="0" xfId="1" applyFont="1" applyFill="1"/>
    <xf numFmtId="164" fontId="9" fillId="7" borderId="0" xfId="1" applyFont="1" applyFill="1" applyAlignment="1">
      <alignment wrapText="1"/>
    </xf>
    <xf numFmtId="165" fontId="9" fillId="7" borderId="0" xfId="1" applyNumberFormat="1" applyFont="1" applyFill="1"/>
    <xf numFmtId="166" fontId="9" fillId="7" borderId="0" xfId="1" applyNumberFormat="1" applyFont="1" applyFill="1"/>
    <xf numFmtId="164" fontId="8" fillId="8" borderId="0" xfId="1" applyFont="1" applyFill="1"/>
    <xf numFmtId="164" fontId="8" fillId="9" borderId="0" xfId="1" applyFont="1" applyFill="1"/>
    <xf numFmtId="164" fontId="9" fillId="9" borderId="0" xfId="1" applyFont="1" applyFill="1" applyAlignment="1">
      <alignment wrapText="1"/>
    </xf>
    <xf numFmtId="165" fontId="9" fillId="9" borderId="0" xfId="1" applyNumberFormat="1" applyFont="1" applyFill="1"/>
    <xf numFmtId="166" fontId="9" fillId="9" borderId="0" xfId="1" applyNumberFormat="1" applyFont="1" applyFill="1"/>
    <xf numFmtId="0" fontId="15" fillId="9" borderId="0" xfId="0" applyFont="1" applyFill="1"/>
    <xf numFmtId="164" fontId="17" fillId="0" borderId="0" xfId="1" applyFont="1" applyAlignment="1">
      <alignment wrapText="1"/>
    </xf>
    <xf numFmtId="164" fontId="16" fillId="0" borderId="0" xfId="1" applyFont="1" applyAlignment="1">
      <alignment horizontal="right" wrapText="1"/>
    </xf>
    <xf numFmtId="164" fontId="16" fillId="0" borderId="0" xfId="1" applyFont="1" applyAlignment="1">
      <alignment wrapText="1"/>
    </xf>
    <xf numFmtId="165" fontId="16" fillId="0" borderId="0" xfId="1" applyNumberFormat="1" applyFont="1" applyAlignment="1">
      <alignment wrapText="1"/>
    </xf>
    <xf numFmtId="166" fontId="17" fillId="0" borderId="0" xfId="1" applyNumberFormat="1" applyFont="1" applyAlignment="1">
      <alignment wrapText="1"/>
    </xf>
    <xf numFmtId="166" fontId="16" fillId="0" borderId="0" xfId="1" applyNumberFormat="1" applyFont="1" applyAlignment="1">
      <alignment wrapText="1"/>
    </xf>
    <xf numFmtId="164" fontId="17" fillId="0" borderId="0" xfId="1" applyFont="1" applyAlignment="1">
      <alignment horizontal="left" wrapText="1"/>
    </xf>
    <xf numFmtId="165" fontId="17" fillId="0" borderId="0" xfId="1" applyNumberFormat="1" applyFont="1" applyAlignment="1">
      <alignment wrapText="1"/>
    </xf>
    <xf numFmtId="4" fontId="9" fillId="3" borderId="0" xfId="1" applyNumberFormat="1" applyFont="1" applyFill="1"/>
    <xf numFmtId="4" fontId="9" fillId="2" borderId="0" xfId="1" applyNumberFormat="1" applyFont="1" applyFill="1"/>
    <xf numFmtId="4" fontId="9" fillId="5" borderId="0" xfId="1" applyNumberFormat="1" applyFont="1" applyFill="1"/>
    <xf numFmtId="4" fontId="9" fillId="0" borderId="0" xfId="1" applyNumberFormat="1" applyFont="1" applyAlignment="1">
      <alignment wrapText="1"/>
    </xf>
    <xf numFmtId="4" fontId="8" fillId="0" borderId="0" xfId="1" applyNumberFormat="1" applyFont="1" applyAlignment="1">
      <alignment wrapText="1"/>
    </xf>
    <xf numFmtId="4" fontId="9" fillId="7" borderId="0" xfId="1" applyNumberFormat="1" applyFont="1" applyFill="1"/>
    <xf numFmtId="49" fontId="9" fillId="2" borderId="0" xfId="1" applyNumberFormat="1" applyFont="1" applyFill="1" applyAlignment="1">
      <alignment horizontal="left" wrapText="1"/>
    </xf>
    <xf numFmtId="4" fontId="9" fillId="4" borderId="0" xfId="1" applyNumberFormat="1" applyFont="1" applyFill="1"/>
    <xf numFmtId="164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center"/>
    </xf>
    <xf numFmtId="166" fontId="9" fillId="0" borderId="0" xfId="1" applyNumberFormat="1" applyFont="1"/>
    <xf numFmtId="164" fontId="8" fillId="8" borderId="0" xfId="1" applyFont="1" applyFill="1" applyAlignment="1">
      <alignment horizontal="right" wrapText="1"/>
    </xf>
    <xf numFmtId="165" fontId="8" fillId="8" borderId="0" xfId="1" applyNumberFormat="1" applyFont="1" applyFill="1" applyAlignment="1">
      <alignment wrapText="1"/>
    </xf>
    <xf numFmtId="164" fontId="9" fillId="8" borderId="0" xfId="1" applyFont="1" applyFill="1" applyAlignment="1">
      <alignment wrapText="1"/>
    </xf>
    <xf numFmtId="164" fontId="9" fillId="8" borderId="0" xfId="1" applyFont="1" applyFill="1"/>
    <xf numFmtId="164" fontId="8" fillId="0" borderId="0" xfId="1" applyFont="1" applyAlignment="1">
      <alignment horizontal="center"/>
    </xf>
    <xf numFmtId="4" fontId="4" fillId="4" borderId="0" xfId="1" applyNumberFormat="1" applyFont="1" applyFill="1"/>
    <xf numFmtId="164" fontId="3" fillId="0" borderId="0" xfId="1" applyFont="1" applyAlignment="1">
      <alignment wrapText="1"/>
    </xf>
    <xf numFmtId="165" fontId="3" fillId="0" borderId="0" xfId="1" applyNumberFormat="1" applyFont="1" applyAlignment="1">
      <alignment wrapText="1"/>
    </xf>
    <xf numFmtId="4" fontId="3" fillId="0" borderId="0" xfId="1" applyNumberFormat="1" applyFont="1" applyAlignment="1">
      <alignment wrapText="1"/>
    </xf>
    <xf numFmtId="0" fontId="17" fillId="0" borderId="0" xfId="0" applyFont="1" applyAlignment="1">
      <alignment horizontal="left"/>
    </xf>
    <xf numFmtId="0" fontId="17" fillId="0" borderId="0" xfId="0" applyFont="1"/>
    <xf numFmtId="164" fontId="3" fillId="0" borderId="0" xfId="1" applyFont="1"/>
    <xf numFmtId="164" fontId="18" fillId="0" borderId="0" xfId="1" applyFont="1" applyAlignment="1">
      <alignment wrapText="1"/>
    </xf>
    <xf numFmtId="164" fontId="9" fillId="11" borderId="0" xfId="1" applyFont="1" applyFill="1" applyAlignment="1">
      <alignment wrapText="1"/>
    </xf>
    <xf numFmtId="164" fontId="9" fillId="11" borderId="0" xfId="1" applyFont="1" applyFill="1"/>
    <xf numFmtId="164" fontId="9" fillId="12" borderId="0" xfId="1" applyFont="1" applyFill="1" applyAlignment="1">
      <alignment wrapText="1"/>
    </xf>
    <xf numFmtId="165" fontId="9" fillId="12" borderId="0" xfId="1" applyNumberFormat="1" applyFont="1" applyFill="1"/>
    <xf numFmtId="164" fontId="9" fillId="12" borderId="0" xfId="1" applyFont="1" applyFill="1" applyAlignment="1">
      <alignment horizontal="left"/>
    </xf>
    <xf numFmtId="164" fontId="9" fillId="13" borderId="0" xfId="1" applyFont="1" applyFill="1" applyAlignment="1">
      <alignment wrapText="1"/>
    </xf>
    <xf numFmtId="165" fontId="9" fillId="13" borderId="0" xfId="1" applyNumberFormat="1" applyFont="1" applyFill="1"/>
    <xf numFmtId="164" fontId="9" fillId="15" borderId="0" xfId="1" applyFont="1" applyFill="1"/>
    <xf numFmtId="164" fontId="9" fillId="15" borderId="0" xfId="1" applyFont="1" applyFill="1" applyAlignment="1">
      <alignment wrapText="1"/>
    </xf>
    <xf numFmtId="165" fontId="9" fillId="15" borderId="0" xfId="1" applyNumberFormat="1" applyFont="1" applyFill="1"/>
    <xf numFmtId="44" fontId="5" fillId="0" borderId="0" xfId="1" applyNumberFormat="1" applyAlignment="1">
      <alignment horizontal="center" vertical="center"/>
    </xf>
    <xf numFmtId="44" fontId="10" fillId="0" borderId="0" xfId="1" applyNumberFormat="1" applyFont="1" applyAlignment="1">
      <alignment horizontal="center" vertical="center"/>
    </xf>
    <xf numFmtId="4" fontId="3" fillId="16" borderId="0" xfId="1" applyNumberFormat="1" applyFont="1" applyFill="1" applyAlignment="1">
      <alignment wrapText="1"/>
    </xf>
    <xf numFmtId="164" fontId="9" fillId="17" borderId="0" xfId="1" applyFont="1" applyFill="1" applyAlignment="1">
      <alignment wrapText="1"/>
    </xf>
    <xf numFmtId="165" fontId="9" fillId="17" borderId="0" xfId="1" applyNumberFormat="1" applyFont="1" applyFill="1"/>
    <xf numFmtId="4" fontId="4" fillId="17" borderId="0" xfId="1" applyNumberFormat="1" applyFont="1" applyFill="1"/>
    <xf numFmtId="165" fontId="8" fillId="18" borderId="0" xfId="1" applyNumberFormat="1" applyFont="1" applyFill="1" applyAlignment="1">
      <alignment wrapText="1"/>
    </xf>
    <xf numFmtId="164" fontId="9" fillId="19" borderId="0" xfId="1" applyFont="1" applyFill="1"/>
    <xf numFmtId="164" fontId="9" fillId="19" borderId="0" xfId="1" applyFont="1" applyFill="1" applyAlignment="1">
      <alignment wrapText="1"/>
    </xf>
    <xf numFmtId="165" fontId="9" fillId="19" borderId="0" xfId="1" applyNumberFormat="1" applyFont="1" applyFill="1"/>
    <xf numFmtId="4" fontId="4" fillId="6" borderId="0" xfId="1" applyNumberFormat="1" applyFont="1" applyFill="1"/>
    <xf numFmtId="4" fontId="18" fillId="16" borderId="0" xfId="1" applyNumberFormat="1" applyFont="1" applyFill="1" applyAlignment="1">
      <alignment wrapText="1"/>
    </xf>
    <xf numFmtId="0" fontId="19" fillId="0" borderId="0" xfId="0" applyFont="1"/>
    <xf numFmtId="164" fontId="9" fillId="12" borderId="0" xfId="1" applyFont="1" applyFill="1" applyBorder="1" applyAlignment="1">
      <alignment wrapText="1"/>
    </xf>
    <xf numFmtId="165" fontId="9" fillId="12" borderId="0" xfId="1" applyNumberFormat="1" applyFont="1" applyFill="1" applyBorder="1"/>
    <xf numFmtId="164" fontId="9" fillId="12" borderId="0" xfId="1" applyFont="1" applyFill="1" applyBorder="1" applyAlignment="1">
      <alignment horizontal="left"/>
    </xf>
    <xf numFmtId="164" fontId="9" fillId="18" borderId="0" xfId="1" applyFont="1" applyFill="1" applyAlignment="1">
      <alignment wrapText="1"/>
    </xf>
    <xf numFmtId="166" fontId="8" fillId="18" borderId="0" xfId="1" applyNumberFormat="1" applyFont="1" applyFill="1" applyAlignment="1">
      <alignment wrapText="1"/>
    </xf>
    <xf numFmtId="164" fontId="9" fillId="14" borderId="0" xfId="1" applyFont="1" applyFill="1" applyAlignment="1">
      <alignment wrapText="1"/>
    </xf>
    <xf numFmtId="164" fontId="9" fillId="14" borderId="0" xfId="1" applyFont="1" applyFill="1" applyAlignment="1">
      <alignment horizontal="left" wrapText="1"/>
    </xf>
    <xf numFmtId="165" fontId="8" fillId="14" borderId="0" xfId="1" applyNumberFormat="1" applyFont="1" applyFill="1" applyAlignment="1">
      <alignment wrapText="1"/>
    </xf>
    <xf numFmtId="164" fontId="9" fillId="21" borderId="0" xfId="1" applyFont="1" applyFill="1" applyAlignment="1">
      <alignment wrapText="1"/>
    </xf>
    <xf numFmtId="166" fontId="9" fillId="21" borderId="0" xfId="1" applyNumberFormat="1" applyFont="1" applyFill="1" applyAlignment="1">
      <alignment wrapText="1"/>
    </xf>
    <xf numFmtId="164" fontId="9" fillId="21" borderId="0" xfId="1" applyFont="1" applyFill="1" applyAlignment="1">
      <alignment horizontal="right" wrapText="1"/>
    </xf>
    <xf numFmtId="165" fontId="9" fillId="21" borderId="0" xfId="1" applyNumberFormat="1" applyFont="1" applyFill="1" applyAlignment="1">
      <alignment wrapText="1"/>
    </xf>
    <xf numFmtId="164" fontId="9" fillId="10" borderId="0" xfId="1" applyFont="1" applyFill="1" applyAlignment="1">
      <alignment horizontal="left" wrapText="1"/>
    </xf>
    <xf numFmtId="165" fontId="9" fillId="10" borderId="0" xfId="1" applyNumberFormat="1" applyFont="1" applyFill="1" applyAlignment="1">
      <alignment horizontal="left"/>
    </xf>
    <xf numFmtId="164" fontId="8" fillId="22" borderId="0" xfId="1" applyFont="1" applyFill="1"/>
    <xf numFmtId="164" fontId="9" fillId="22" borderId="0" xfId="1" applyFont="1" applyFill="1" applyAlignment="1">
      <alignment horizontal="left" wrapText="1"/>
    </xf>
    <xf numFmtId="165" fontId="9" fillId="22" borderId="0" xfId="1" applyNumberFormat="1" applyFont="1" applyFill="1" applyAlignment="1">
      <alignment horizontal="left"/>
    </xf>
    <xf numFmtId="166" fontId="9" fillId="22" borderId="0" xfId="1" applyNumberFormat="1" applyFont="1" applyFill="1"/>
    <xf numFmtId="166" fontId="9" fillId="21" borderId="0" xfId="1" applyNumberFormat="1" applyFont="1" applyFill="1"/>
    <xf numFmtId="165" fontId="9" fillId="11" borderId="0" xfId="1" applyNumberFormat="1" applyFont="1" applyFill="1" applyAlignment="1">
      <alignment wrapText="1"/>
    </xf>
    <xf numFmtId="166" fontId="9" fillId="11" borderId="0" xfId="1" applyNumberFormat="1" applyFont="1" applyFill="1" applyAlignment="1">
      <alignment wrapText="1"/>
    </xf>
    <xf numFmtId="43" fontId="9" fillId="19" borderId="0" xfId="6" applyFont="1" applyFill="1" applyAlignment="1">
      <alignment horizontal="right" wrapText="1"/>
    </xf>
    <xf numFmtId="164" fontId="9" fillId="15" borderId="0" xfId="1" applyFont="1" applyFill="1" applyBorder="1"/>
    <xf numFmtId="164" fontId="9" fillId="15" borderId="0" xfId="1" applyFont="1" applyFill="1" applyBorder="1" applyAlignment="1">
      <alignment wrapText="1"/>
    </xf>
    <xf numFmtId="165" fontId="9" fillId="15" borderId="0" xfId="1" applyNumberFormat="1" applyFont="1" applyFill="1" applyBorder="1"/>
    <xf numFmtId="165" fontId="9" fillId="0" borderId="0" xfId="1" applyNumberFormat="1" applyFont="1" applyAlignment="1">
      <alignment horizontal="left" wrapText="1"/>
    </xf>
    <xf numFmtId="164" fontId="9" fillId="20" borderId="0" xfId="1" applyFont="1" applyFill="1" applyAlignment="1">
      <alignment horizontal="left" wrapText="1"/>
    </xf>
    <xf numFmtId="165" fontId="9" fillId="20" borderId="0" xfId="1" applyNumberFormat="1" applyFont="1" applyFill="1" applyAlignment="1">
      <alignment horizontal="left" wrapText="1"/>
    </xf>
    <xf numFmtId="4" fontId="8" fillId="20" borderId="0" xfId="1" applyNumberFormat="1" applyFont="1" applyFill="1" applyAlignment="1">
      <alignment horizontal="left" wrapText="1"/>
    </xf>
    <xf numFmtId="166" fontId="8" fillId="20" borderId="0" xfId="1" applyNumberFormat="1" applyFont="1" applyFill="1" applyAlignment="1">
      <alignment horizontal="left" wrapText="1"/>
    </xf>
    <xf numFmtId="164" fontId="9" fillId="20" borderId="0" xfId="1" applyFont="1" applyFill="1" applyAlignment="1">
      <alignment wrapText="1"/>
    </xf>
    <xf numFmtId="165" fontId="9" fillId="20" borderId="0" xfId="1" applyNumberFormat="1" applyFont="1" applyFill="1" applyAlignment="1">
      <alignment wrapText="1"/>
    </xf>
    <xf numFmtId="166" fontId="9" fillId="20" borderId="0" xfId="1" applyNumberFormat="1" applyFont="1" applyFill="1" applyAlignment="1">
      <alignment wrapText="1"/>
    </xf>
    <xf numFmtId="164" fontId="8" fillId="20" borderId="0" xfId="1" applyFont="1" applyFill="1"/>
    <xf numFmtId="164" fontId="9" fillId="23" borderId="0" xfId="1" applyFont="1" applyFill="1" applyAlignment="1">
      <alignment wrapText="1"/>
    </xf>
    <xf numFmtId="165" fontId="9" fillId="23" borderId="0" xfId="1" applyNumberFormat="1" applyFont="1" applyFill="1" applyAlignment="1">
      <alignment wrapText="1"/>
    </xf>
    <xf numFmtId="166" fontId="9" fillId="23" borderId="0" xfId="1" applyNumberFormat="1" applyFont="1" applyFill="1" applyAlignment="1">
      <alignment wrapText="1"/>
    </xf>
    <xf numFmtId="164" fontId="8" fillId="23" borderId="0" xfId="1" applyFont="1" applyFill="1"/>
    <xf numFmtId="164" fontId="9" fillId="20" borderId="0" xfId="1" applyFont="1" applyFill="1" applyAlignment="1">
      <alignment horizontal="center"/>
    </xf>
    <xf numFmtId="165" fontId="3" fillId="2" borderId="0" xfId="1" applyNumberFormat="1" applyFont="1" applyFill="1"/>
    <xf numFmtId="165" fontId="4" fillId="2" borderId="0" xfId="1" applyNumberFormat="1" applyFont="1" applyFill="1" applyAlignment="1">
      <alignment horizontal="center"/>
    </xf>
    <xf numFmtId="49" fontId="4" fillId="2" borderId="0" xfId="1" applyNumberFormat="1" applyFont="1" applyFill="1" applyAlignment="1">
      <alignment horizontal="center"/>
    </xf>
    <xf numFmtId="4" fontId="4" fillId="3" borderId="0" xfId="1" applyNumberFormat="1" applyFont="1" applyFill="1"/>
    <xf numFmtId="4" fontId="4" fillId="2" borderId="0" xfId="1" applyNumberFormat="1" applyFont="1" applyFill="1"/>
    <xf numFmtId="4" fontId="4" fillId="19" borderId="0" xfId="1" applyNumberFormat="1" applyFont="1" applyFill="1"/>
    <xf numFmtId="4" fontId="4" fillId="5" borderId="0" xfId="1" applyNumberFormat="1" applyFont="1" applyFill="1"/>
    <xf numFmtId="4" fontId="4" fillId="7" borderId="0" xfId="1" applyNumberFormat="1" applyFont="1" applyFill="1"/>
    <xf numFmtId="4" fontId="4" fillId="0" borderId="0" xfId="1" applyNumberFormat="1" applyFont="1" applyAlignment="1">
      <alignment wrapText="1"/>
    </xf>
    <xf numFmtId="4" fontId="4" fillId="16" borderId="0" xfId="1" applyNumberFormat="1" applyFont="1" applyFill="1" applyAlignment="1">
      <alignment wrapText="1"/>
    </xf>
    <xf numFmtId="4" fontId="21" fillId="0" borderId="0" xfId="1" applyNumberFormat="1" applyFont="1" applyAlignment="1">
      <alignment wrapText="1"/>
    </xf>
    <xf numFmtId="4" fontId="18" fillId="0" borderId="0" xfId="1" applyNumberFormat="1" applyFont="1" applyAlignment="1">
      <alignment wrapText="1"/>
    </xf>
    <xf numFmtId="4" fontId="21" fillId="16" borderId="0" xfId="0" applyNumberFormat="1" applyFont="1" applyFill="1"/>
    <xf numFmtId="4" fontId="21" fillId="0" borderId="0" xfId="0" applyNumberFormat="1" applyFont="1"/>
    <xf numFmtId="168" fontId="4" fillId="19" borderId="0" xfId="1" applyNumberFormat="1" applyFont="1" applyFill="1"/>
    <xf numFmtId="4" fontId="4" fillId="3" borderId="0" xfId="1" applyNumberFormat="1" applyFont="1" applyFill="1" applyAlignment="1">
      <alignment wrapText="1"/>
    </xf>
    <xf numFmtId="4" fontId="4" fillId="2" borderId="0" xfId="1" applyNumberFormat="1" applyFont="1" applyFill="1" applyAlignment="1">
      <alignment wrapText="1"/>
    </xf>
    <xf numFmtId="4" fontId="4" fillId="21" borderId="0" xfId="1" applyNumberFormat="1" applyFont="1" applyFill="1" applyAlignment="1">
      <alignment wrapText="1"/>
    </xf>
    <xf numFmtId="4" fontId="4" fillId="13" borderId="0" xfId="1" applyNumberFormat="1" applyFont="1" applyFill="1"/>
    <xf numFmtId="4" fontId="4" fillId="12" borderId="0" xfId="1" applyNumberFormat="1" applyFont="1" applyFill="1"/>
    <xf numFmtId="4" fontId="4" fillId="15" borderId="0" xfId="1" applyNumberFormat="1" applyFont="1" applyFill="1" applyBorder="1"/>
    <xf numFmtId="4" fontId="4" fillId="12" borderId="0" xfId="1" applyNumberFormat="1" applyFont="1" applyFill="1" applyBorder="1"/>
    <xf numFmtId="4" fontId="4" fillId="15" borderId="0" xfId="1" applyNumberFormat="1" applyFont="1" applyFill="1"/>
    <xf numFmtId="4" fontId="4" fillId="9" borderId="0" xfId="1" applyNumberFormat="1" applyFont="1" applyFill="1"/>
    <xf numFmtId="4" fontId="22" fillId="16" borderId="0" xfId="0" applyNumberFormat="1" applyFont="1" applyFill="1"/>
    <xf numFmtId="4" fontId="18" fillId="16" borderId="0" xfId="0" applyNumberFormat="1" applyFont="1" applyFill="1"/>
    <xf numFmtId="4" fontId="22" fillId="0" borderId="0" xfId="0" applyNumberFormat="1" applyFont="1"/>
    <xf numFmtId="4" fontId="4" fillId="14" borderId="0" xfId="1" applyNumberFormat="1" applyFont="1" applyFill="1" applyAlignment="1">
      <alignment wrapText="1"/>
    </xf>
    <xf numFmtId="4" fontId="4" fillId="18" borderId="0" xfId="1" applyNumberFormat="1" applyFont="1" applyFill="1" applyAlignment="1">
      <alignment wrapText="1"/>
    </xf>
    <xf numFmtId="4" fontId="4" fillId="20" borderId="0" xfId="1" applyNumberFormat="1" applyFont="1" applyFill="1" applyAlignment="1">
      <alignment horizontal="right" wrapText="1"/>
    </xf>
    <xf numFmtId="43" fontId="4" fillId="19" borderId="0" xfId="6" applyFont="1" applyFill="1" applyAlignment="1">
      <alignment horizontal="right" wrapText="1"/>
    </xf>
    <xf numFmtId="4" fontId="4" fillId="11" borderId="0" xfId="1" applyNumberFormat="1" applyFont="1" applyFill="1" applyAlignment="1">
      <alignment wrapText="1"/>
    </xf>
    <xf numFmtId="4" fontId="4" fillId="8" borderId="0" xfId="1" applyNumberFormat="1" applyFont="1" applyFill="1" applyAlignment="1">
      <alignment wrapText="1"/>
    </xf>
    <xf numFmtId="4" fontId="4" fillId="0" borderId="0" xfId="1" applyNumberFormat="1" applyFont="1" applyAlignment="1">
      <alignment horizontal="right" wrapText="1"/>
    </xf>
    <xf numFmtId="4" fontId="4" fillId="20" borderId="0" xfId="1" applyNumberFormat="1" applyFont="1" applyFill="1" applyAlignment="1">
      <alignment wrapText="1"/>
    </xf>
    <xf numFmtId="4" fontId="4" fillId="23" borderId="0" xfId="1" applyNumberFormat="1" applyFont="1" applyFill="1" applyAlignment="1">
      <alignment wrapText="1"/>
    </xf>
    <xf numFmtId="0" fontId="18" fillId="0" borderId="0" xfId="0" applyFont="1"/>
    <xf numFmtId="164" fontId="4" fillId="0" borderId="0" xfId="1" applyFont="1" applyAlignment="1">
      <alignment horizontal="center"/>
    </xf>
    <xf numFmtId="164" fontId="23" fillId="0" borderId="0" xfId="1" applyFont="1"/>
    <xf numFmtId="164" fontId="9" fillId="18" borderId="0" xfId="1" applyFont="1" applyFill="1" applyAlignment="1">
      <alignment horizontal="left" wrapText="1"/>
    </xf>
    <xf numFmtId="164" fontId="8" fillId="18" borderId="0" xfId="1" applyFont="1" applyFill="1"/>
    <xf numFmtId="165" fontId="21" fillId="0" borderId="0" xfId="1" applyNumberFormat="1" applyFont="1" applyAlignment="1">
      <alignment wrapText="1"/>
    </xf>
    <xf numFmtId="165" fontId="24" fillId="0" borderId="0" xfId="1" applyNumberFormat="1" applyFont="1" applyAlignment="1">
      <alignment wrapText="1"/>
    </xf>
    <xf numFmtId="168" fontId="18" fillId="0" borderId="0" xfId="1" applyNumberFormat="1" applyFont="1" applyAlignment="1">
      <alignment wrapText="1"/>
    </xf>
    <xf numFmtId="4" fontId="25" fillId="0" borderId="0" xfId="1" applyNumberFormat="1" applyFont="1" applyAlignment="1">
      <alignment wrapText="1"/>
    </xf>
    <xf numFmtId="165" fontId="25" fillId="0" borderId="0" xfId="1" applyNumberFormat="1" applyFont="1" applyAlignment="1">
      <alignment wrapText="1"/>
    </xf>
    <xf numFmtId="4" fontId="4" fillId="22" borderId="0" xfId="1" applyNumberFormat="1" applyFont="1" applyFill="1" applyAlignment="1">
      <alignment horizontal="right"/>
    </xf>
    <xf numFmtId="4" fontId="4" fillId="10" borderId="0" xfId="1" applyNumberFormat="1" applyFont="1" applyFill="1" applyAlignment="1">
      <alignment horizontal="right"/>
    </xf>
    <xf numFmtId="168" fontId="4" fillId="21" borderId="0" xfId="1" applyNumberFormat="1" applyFont="1" applyFill="1" applyAlignment="1">
      <alignment wrapText="1"/>
    </xf>
    <xf numFmtId="168" fontId="4" fillId="0" borderId="0" xfId="1" applyNumberFormat="1" applyFont="1" applyAlignment="1">
      <alignment wrapText="1"/>
    </xf>
    <xf numFmtId="0" fontId="22" fillId="0" borderId="0" xfId="0" applyFont="1"/>
    <xf numFmtId="165" fontId="9" fillId="18" borderId="0" xfId="1" applyNumberFormat="1" applyFont="1" applyFill="1" applyAlignment="1">
      <alignment horizontal="left" wrapText="1"/>
    </xf>
    <xf numFmtId="167" fontId="4" fillId="2" borderId="0" xfId="1" applyNumberFormat="1" applyFont="1" applyFill="1" applyAlignment="1">
      <alignment horizontal="center"/>
    </xf>
    <xf numFmtId="164" fontId="4" fillId="0" borderId="0" xfId="1" applyFont="1"/>
    <xf numFmtId="4" fontId="4" fillId="18" borderId="0" xfId="1" applyNumberFormat="1" applyFont="1" applyFill="1" applyAlignment="1">
      <alignment horizontal="right" wrapText="1"/>
    </xf>
    <xf numFmtId="4" fontId="8" fillId="18" borderId="0" xfId="1" applyNumberFormat="1" applyFont="1" applyFill="1" applyAlignment="1">
      <alignment horizontal="left" wrapText="1"/>
    </xf>
    <xf numFmtId="166" fontId="8" fillId="18" borderId="0" xfId="1" applyNumberFormat="1" applyFont="1" applyFill="1" applyAlignment="1">
      <alignment horizontal="left" wrapText="1"/>
    </xf>
    <xf numFmtId="164" fontId="9" fillId="24" borderId="0" xfId="1" applyFont="1" applyFill="1" applyAlignment="1">
      <alignment horizontal="left" wrapText="1"/>
    </xf>
    <xf numFmtId="4" fontId="8" fillId="24" borderId="0" xfId="1" applyNumberFormat="1" applyFont="1" applyFill="1" applyAlignment="1">
      <alignment horizontal="left" wrapText="1"/>
    </xf>
    <xf numFmtId="166" fontId="8" fillId="24" borderId="0" xfId="1" applyNumberFormat="1" applyFont="1" applyFill="1" applyAlignment="1">
      <alignment horizontal="left" wrapText="1"/>
    </xf>
    <xf numFmtId="170" fontId="4" fillId="19" borderId="0" xfId="6" applyNumberFormat="1" applyFont="1" applyFill="1" applyAlignment="1">
      <alignment horizontal="right"/>
    </xf>
    <xf numFmtId="49" fontId="10" fillId="0" borderId="0" xfId="1" applyNumberFormat="1" applyFont="1" applyAlignment="1">
      <alignment horizontal="right"/>
    </xf>
    <xf numFmtId="49" fontId="9" fillId="0" borderId="0" xfId="1" applyNumberFormat="1" applyFont="1" applyAlignment="1">
      <alignment horizontal="right"/>
    </xf>
    <xf numFmtId="171" fontId="10" fillId="0" borderId="0" xfId="1" applyNumberFormat="1" applyFont="1"/>
    <xf numFmtId="172" fontId="10" fillId="0" borderId="0" xfId="1" applyNumberFormat="1" applyFont="1" applyAlignment="1">
      <alignment horizontal="right"/>
    </xf>
    <xf numFmtId="172" fontId="8" fillId="0" borderId="0" xfId="1" applyNumberFormat="1" applyFont="1"/>
    <xf numFmtId="172" fontId="26" fillId="0" borderId="0" xfId="1" applyNumberFormat="1" applyFont="1" applyAlignment="1">
      <alignment horizontal="right"/>
    </xf>
    <xf numFmtId="171" fontId="3" fillId="0" borderId="0" xfId="1" applyNumberFormat="1" applyFont="1"/>
    <xf numFmtId="171" fontId="26" fillId="0" borderId="0" xfId="1" applyNumberFormat="1" applyFont="1"/>
    <xf numFmtId="172" fontId="10" fillId="0" borderId="0" xfId="1" applyNumberFormat="1" applyFont="1"/>
    <xf numFmtId="166" fontId="9" fillId="16" borderId="0" xfId="1" applyNumberFormat="1" applyFont="1" applyFill="1" applyAlignment="1">
      <alignment wrapText="1"/>
    </xf>
    <xf numFmtId="0" fontId="27" fillId="0" borderId="0" xfId="0" applyFont="1"/>
    <xf numFmtId="164" fontId="16" fillId="0" borderId="0" xfId="1" applyFont="1"/>
    <xf numFmtId="164" fontId="17" fillId="0" borderId="0" xfId="1" applyFont="1"/>
    <xf numFmtId="4" fontId="16" fillId="0" borderId="0" xfId="0" applyNumberFormat="1" applyFont="1"/>
    <xf numFmtId="0" fontId="28" fillId="0" borderId="0" xfId="0" applyFont="1"/>
    <xf numFmtId="0" fontId="28" fillId="0" borderId="5" xfId="0" applyFont="1" applyBorder="1" applyAlignment="1">
      <alignment horizontal="center"/>
    </xf>
    <xf numFmtId="0" fontId="16" fillId="0" borderId="5" xfId="0" applyFont="1" applyBorder="1"/>
    <xf numFmtId="0" fontId="29" fillId="0" borderId="0" xfId="0" applyFont="1"/>
    <xf numFmtId="0" fontId="29" fillId="0" borderId="5" xfId="0" applyFont="1" applyBorder="1"/>
    <xf numFmtId="49" fontId="29" fillId="0" borderId="5" xfId="0" applyNumberFormat="1" applyFont="1" applyBorder="1" applyAlignment="1">
      <alignment horizontal="right"/>
    </xf>
    <xf numFmtId="164" fontId="3" fillId="0" borderId="0" xfId="1" applyFont="1" applyAlignment="1">
      <alignment horizontal="right"/>
    </xf>
    <xf numFmtId="168" fontId="18" fillId="0" borderId="0" xfId="1" applyNumberFormat="1" applyFont="1" applyAlignment="1">
      <alignment horizontal="right" wrapText="1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left"/>
    </xf>
    <xf numFmtId="0" fontId="30" fillId="0" borderId="0" xfId="7"/>
    <xf numFmtId="0" fontId="31" fillId="0" borderId="0" xfId="7" applyFont="1" applyAlignment="1">
      <alignment horizontal="center"/>
    </xf>
    <xf numFmtId="4" fontId="21" fillId="0" borderId="0" xfId="7" applyNumberFormat="1" applyFont="1"/>
    <xf numFmtId="0" fontId="21" fillId="0" borderId="0" xfId="7" applyFont="1"/>
    <xf numFmtId="0" fontId="0" fillId="0" borderId="0" xfId="0" applyAlignment="1">
      <alignment wrapText="1"/>
    </xf>
    <xf numFmtId="0" fontId="18" fillId="0" borderId="5" xfId="8" applyFont="1" applyBorder="1" applyAlignment="1">
      <alignment horizontal="center" wrapText="1"/>
    </xf>
    <xf numFmtId="4" fontId="18" fillId="0" borderId="5" xfId="7" applyNumberFormat="1" applyFont="1" applyBorder="1"/>
    <xf numFmtId="4" fontId="21" fillId="0" borderId="5" xfId="7" applyNumberFormat="1" applyFont="1" applyBorder="1"/>
    <xf numFmtId="0" fontId="17" fillId="20" borderId="0" xfId="0" applyFont="1" applyFill="1"/>
    <xf numFmtId="4" fontId="18" fillId="20" borderId="0" xfId="0" applyNumberFormat="1" applyFont="1" applyFill="1"/>
    <xf numFmtId="164" fontId="4" fillId="9" borderId="0" xfId="1" applyFont="1" applyFill="1" applyAlignment="1">
      <alignment wrapText="1"/>
    </xf>
    <xf numFmtId="165" fontId="9" fillId="25" borderId="0" xfId="1" applyNumberFormat="1" applyFont="1" applyFill="1" applyAlignment="1">
      <alignment horizontal="left" wrapText="1"/>
    </xf>
    <xf numFmtId="4" fontId="4" fillId="25" borderId="0" xfId="1" applyNumberFormat="1" applyFont="1" applyFill="1" applyAlignment="1">
      <alignment horizontal="right" wrapText="1"/>
    </xf>
    <xf numFmtId="0" fontId="17" fillId="0" borderId="0" xfId="0" applyFont="1" applyAlignment="1">
      <alignment horizontal="left" wrapText="1"/>
    </xf>
    <xf numFmtId="164" fontId="17" fillId="0" borderId="0" xfId="1" applyFont="1" applyAlignment="1">
      <alignment horizontal="center"/>
    </xf>
    <xf numFmtId="0" fontId="16" fillId="0" borderId="0" xfId="0" applyFont="1" applyAlignment="1">
      <alignment wrapText="1"/>
    </xf>
    <xf numFmtId="4" fontId="0" fillId="0" borderId="5" xfId="0" applyNumberFormat="1" applyBorder="1"/>
    <xf numFmtId="4" fontId="27" fillId="0" borderId="5" xfId="0" applyNumberFormat="1" applyFont="1" applyBorder="1"/>
    <xf numFmtId="170" fontId="18" fillId="0" borderId="0" xfId="6" applyNumberFormat="1" applyFont="1" applyFill="1" applyAlignment="1">
      <alignment horizontal="right" wrapText="1"/>
    </xf>
    <xf numFmtId="2" fontId="18" fillId="0" borderId="0" xfId="6" applyNumberFormat="1" applyFont="1" applyFill="1" applyAlignment="1">
      <alignment horizontal="right" wrapText="1"/>
    </xf>
    <xf numFmtId="165" fontId="8" fillId="25" borderId="0" xfId="1" applyNumberFormat="1" applyFont="1" applyFill="1" applyAlignment="1">
      <alignment wrapText="1"/>
    </xf>
    <xf numFmtId="4" fontId="4" fillId="25" borderId="0" xfId="1" applyNumberFormat="1" applyFont="1" applyFill="1" applyAlignment="1">
      <alignment wrapText="1"/>
    </xf>
    <xf numFmtId="170" fontId="4" fillId="19" borderId="0" xfId="6" applyNumberFormat="1" applyFont="1" applyFill="1" applyAlignment="1">
      <alignment horizontal="right" wrapText="1"/>
    </xf>
    <xf numFmtId="4" fontId="28" fillId="0" borderId="5" xfId="0" applyNumberFormat="1" applyFont="1" applyBorder="1" applyAlignment="1">
      <alignment wrapText="1"/>
    </xf>
    <xf numFmtId="0" fontId="32" fillId="0" borderId="0" xfId="0" applyFont="1"/>
    <xf numFmtId="165" fontId="8" fillId="16" borderId="0" xfId="1" applyNumberFormat="1" applyFont="1" applyFill="1" applyAlignment="1">
      <alignment wrapText="1"/>
    </xf>
    <xf numFmtId="4" fontId="18" fillId="0" borderId="0" xfId="1" applyNumberFormat="1" applyFont="1" applyAlignment="1">
      <alignment horizontal="right" wrapText="1"/>
    </xf>
    <xf numFmtId="4" fontId="0" fillId="0" borderId="0" xfId="0" applyNumberFormat="1"/>
    <xf numFmtId="2" fontId="0" fillId="0" borderId="0" xfId="0" applyNumberFormat="1"/>
    <xf numFmtId="4" fontId="18" fillId="0" borderId="0" xfId="6" applyNumberFormat="1" applyFont="1" applyFill="1" applyAlignment="1">
      <alignment horizontal="right" wrapText="1"/>
    </xf>
    <xf numFmtId="170" fontId="4" fillId="19" borderId="0" xfId="6" applyNumberFormat="1" applyFont="1" applyFill="1" applyAlignment="1"/>
    <xf numFmtId="0" fontId="29" fillId="0" borderId="5" xfId="0" applyFont="1" applyBorder="1"/>
    <xf numFmtId="0" fontId="29" fillId="0" borderId="5" xfId="0" applyFont="1" applyBorder="1" applyAlignment="1">
      <alignment wrapText="1"/>
    </xf>
    <xf numFmtId="0" fontId="28" fillId="16" borderId="5" xfId="0" applyFont="1" applyFill="1" applyBorder="1" applyAlignment="1">
      <alignment horizontal="center" wrapText="1"/>
    </xf>
    <xf numFmtId="4" fontId="28" fillId="0" borderId="5" xfId="0" applyNumberFormat="1" applyFont="1" applyBorder="1" applyAlignment="1">
      <alignment wrapText="1"/>
    </xf>
    <xf numFmtId="0" fontId="16" fillId="0" borderId="0" xfId="0" applyFont="1" applyAlignment="1">
      <alignment wrapText="1"/>
    </xf>
    <xf numFmtId="0" fontId="28" fillId="0" borderId="5" xfId="0" applyFont="1" applyBorder="1"/>
    <xf numFmtId="0" fontId="16" fillId="0" borderId="5" xfId="0" applyFont="1" applyBorder="1"/>
    <xf numFmtId="4" fontId="16" fillId="0" borderId="5" xfId="0" applyNumberFormat="1" applyFont="1" applyBorder="1" applyAlignment="1">
      <alignment wrapText="1"/>
    </xf>
    <xf numFmtId="164" fontId="17" fillId="0" borderId="0" xfId="1" applyFont="1" applyAlignment="1">
      <alignment horizontal="center"/>
    </xf>
    <xf numFmtId="0" fontId="16" fillId="0" borderId="0" xfId="0" applyFont="1"/>
    <xf numFmtId="4" fontId="16" fillId="0" borderId="1" xfId="0" applyNumberFormat="1" applyFont="1" applyBorder="1"/>
    <xf numFmtId="4" fontId="16" fillId="0" borderId="3" xfId="0" applyNumberFormat="1" applyFont="1" applyBorder="1"/>
    <xf numFmtId="0" fontId="28" fillId="0" borderId="1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9" fillId="0" borderId="1" xfId="0" applyFont="1" applyBorder="1" applyAlignment="1">
      <alignment wrapText="1"/>
    </xf>
    <xf numFmtId="0" fontId="29" fillId="0" borderId="2" xfId="0" applyFont="1" applyBorder="1" applyAlignment="1">
      <alignment wrapText="1"/>
    </xf>
    <xf numFmtId="0" fontId="29" fillId="0" borderId="3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9" fillId="0" borderId="1" xfId="0" applyFont="1" applyBorder="1"/>
    <xf numFmtId="0" fontId="29" fillId="0" borderId="2" xfId="0" applyFont="1" applyBorder="1"/>
    <xf numFmtId="0" fontId="29" fillId="0" borderId="3" xfId="0" applyFont="1" applyBorder="1"/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8" fillId="0" borderId="1" xfId="7" applyFont="1" applyBorder="1" applyAlignment="1">
      <alignment horizontal="left"/>
    </xf>
    <xf numFmtId="0" fontId="18" fillId="0" borderId="2" xfId="7" applyFont="1" applyBorder="1" applyAlignment="1">
      <alignment horizontal="left"/>
    </xf>
    <xf numFmtId="0" fontId="18" fillId="0" borderId="3" xfId="7" applyFont="1" applyBorder="1" applyAlignment="1">
      <alignment horizontal="left"/>
    </xf>
    <xf numFmtId="0" fontId="21" fillId="0" borderId="1" xfId="7" applyFont="1" applyBorder="1" applyAlignment="1">
      <alignment horizontal="left"/>
    </xf>
    <xf numFmtId="0" fontId="21" fillId="0" borderId="2" xfId="7" applyFont="1" applyBorder="1" applyAlignment="1">
      <alignment horizontal="left"/>
    </xf>
    <xf numFmtId="0" fontId="21" fillId="0" borderId="3" xfId="7" applyFont="1" applyBorder="1" applyAlignment="1">
      <alignment horizontal="left"/>
    </xf>
    <xf numFmtId="0" fontId="18" fillId="0" borderId="1" xfId="7" applyFont="1" applyBorder="1" applyAlignment="1">
      <alignment horizontal="left" wrapText="1"/>
    </xf>
    <xf numFmtId="0" fontId="18" fillId="0" borderId="2" xfId="7" applyFont="1" applyBorder="1" applyAlignment="1">
      <alignment horizontal="left" wrapText="1"/>
    </xf>
    <xf numFmtId="0" fontId="18" fillId="0" borderId="3" xfId="7" applyFont="1" applyBorder="1" applyAlignment="1">
      <alignment horizontal="left" wrapText="1"/>
    </xf>
    <xf numFmtId="0" fontId="21" fillId="0" borderId="1" xfId="7" applyFont="1" applyBorder="1" applyAlignment="1">
      <alignment horizontal="left" wrapText="1"/>
    </xf>
    <xf numFmtId="0" fontId="21" fillId="0" borderId="2" xfId="7" applyFont="1" applyBorder="1" applyAlignment="1">
      <alignment horizontal="left" wrapText="1"/>
    </xf>
    <xf numFmtId="0" fontId="21" fillId="0" borderId="3" xfId="7" applyFont="1" applyBorder="1" applyAlignment="1">
      <alignment horizontal="left" wrapText="1"/>
    </xf>
    <xf numFmtId="0" fontId="27" fillId="0" borderId="1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18" fillId="0" borderId="1" xfId="7" applyFont="1" applyBorder="1"/>
    <xf numFmtId="0" fontId="18" fillId="0" borderId="2" xfId="7" applyFont="1" applyBorder="1"/>
    <xf numFmtId="0" fontId="18" fillId="0" borderId="3" xfId="7" applyFont="1" applyBorder="1"/>
    <xf numFmtId="0" fontId="21" fillId="0" borderId="1" xfId="7" applyFont="1" applyBorder="1"/>
    <xf numFmtId="0" fontId="21" fillId="0" borderId="2" xfId="7" applyFont="1" applyBorder="1"/>
    <xf numFmtId="0" fontId="21" fillId="0" borderId="3" xfId="7" applyFont="1" applyBorder="1"/>
    <xf numFmtId="0" fontId="29" fillId="0" borderId="1" xfId="0" applyFont="1" applyBorder="1" applyAlignment="1">
      <alignment horizontal="left" wrapText="1"/>
    </xf>
    <xf numFmtId="0" fontId="29" fillId="0" borderId="2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28" fillId="0" borderId="1" xfId="0" applyFont="1" applyBorder="1"/>
    <xf numFmtId="0" fontId="28" fillId="0" borderId="2" xfId="0" applyFont="1" applyBorder="1"/>
    <xf numFmtId="0" fontId="28" fillId="0" borderId="3" xfId="0" applyFont="1" applyBorder="1"/>
    <xf numFmtId="0" fontId="29" fillId="0" borderId="1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4" fontId="16" fillId="0" borderId="1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49" fontId="28" fillId="0" borderId="1" xfId="0" applyNumberFormat="1" applyFont="1" applyBorder="1" applyAlignment="1">
      <alignment horizontal="left"/>
    </xf>
    <xf numFmtId="49" fontId="28" fillId="0" borderId="2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left"/>
    </xf>
    <xf numFmtId="49" fontId="29" fillId="0" borderId="1" xfId="0" applyNumberFormat="1" applyFont="1" applyBorder="1" applyAlignment="1">
      <alignment horizontal="left"/>
    </xf>
    <xf numFmtId="49" fontId="29" fillId="0" borderId="2" xfId="0" applyNumberFormat="1" applyFont="1" applyBorder="1" applyAlignment="1">
      <alignment horizontal="left"/>
    </xf>
    <xf numFmtId="49" fontId="29" fillId="0" borderId="3" xfId="0" applyNumberFormat="1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4" fontId="29" fillId="0" borderId="1" xfId="0" applyNumberFormat="1" applyFont="1" applyBorder="1"/>
    <xf numFmtId="4" fontId="29" fillId="0" borderId="3" xfId="0" applyNumberFormat="1" applyFont="1" applyBorder="1"/>
    <xf numFmtId="4" fontId="29" fillId="0" borderId="1" xfId="0" applyNumberFormat="1" applyFont="1" applyBorder="1" applyAlignment="1">
      <alignment horizontal="right"/>
    </xf>
    <xf numFmtId="4" fontId="29" fillId="0" borderId="3" xfId="0" applyNumberFormat="1" applyFont="1" applyBorder="1" applyAlignment="1">
      <alignment horizontal="right"/>
    </xf>
    <xf numFmtId="0" fontId="18" fillId="0" borderId="1" xfId="8" applyFont="1" applyBorder="1" applyAlignment="1">
      <alignment horizontal="center" wrapText="1"/>
    </xf>
    <xf numFmtId="0" fontId="18" fillId="0" borderId="3" xfId="8" applyFont="1" applyBorder="1" applyAlignment="1">
      <alignment horizontal="center" wrapText="1"/>
    </xf>
    <xf numFmtId="4" fontId="28" fillId="0" borderId="1" xfId="0" applyNumberFormat="1" applyFont="1" applyBorder="1"/>
    <xf numFmtId="4" fontId="28" fillId="0" borderId="3" xfId="0" applyNumberFormat="1" applyFont="1" applyBorder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 wrapText="1"/>
    </xf>
    <xf numFmtId="4" fontId="28" fillId="0" borderId="1" xfId="0" applyNumberFormat="1" applyFont="1" applyBorder="1" applyAlignment="1">
      <alignment horizontal="right"/>
    </xf>
    <xf numFmtId="4" fontId="28" fillId="0" borderId="3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/>
    </xf>
    <xf numFmtId="164" fontId="3" fillId="0" borderId="0" xfId="1" applyFont="1" applyAlignment="1">
      <alignment horizontal="left"/>
    </xf>
    <xf numFmtId="164" fontId="11" fillId="2" borderId="0" xfId="1" applyFont="1" applyFill="1" applyAlignment="1">
      <alignment horizontal="center"/>
    </xf>
    <xf numFmtId="164" fontId="9" fillId="23" borderId="0" xfId="1" applyFont="1" applyFill="1" applyAlignment="1">
      <alignment horizontal="left" vertical="top" wrapText="1"/>
    </xf>
    <xf numFmtId="164" fontId="9" fillId="11" borderId="0" xfId="1" applyFont="1" applyFill="1" applyAlignment="1">
      <alignment horizontal="left" wrapText="1"/>
    </xf>
    <xf numFmtId="164" fontId="9" fillId="25" borderId="0" xfId="1" applyFont="1" applyFill="1" applyAlignment="1">
      <alignment horizontal="left" wrapText="1"/>
    </xf>
    <xf numFmtId="164" fontId="9" fillId="4" borderId="0" xfId="1" applyFont="1" applyFill="1" applyAlignment="1">
      <alignment wrapText="1"/>
    </xf>
    <xf numFmtId="164" fontId="8" fillId="0" borderId="0" xfId="1" applyFont="1" applyAlignment="1">
      <alignment horizontal="center" vertical="center"/>
    </xf>
  </cellXfs>
  <cellStyles count="9">
    <cellStyle name="Excel Built-in Normal" xfId="1"/>
    <cellStyle name="Heading" xfId="2"/>
    <cellStyle name="Heading1" xfId="3"/>
    <cellStyle name="Normalno" xfId="0" builtinId="0"/>
    <cellStyle name="Normalno 2" xfId="8"/>
    <cellStyle name="Normalno 3" xfId="7"/>
    <cellStyle name="Result" xfId="4"/>
    <cellStyle name="Result2" xfId="5"/>
    <cellStyle name="Zarez" xfId="6" builtinId="3"/>
  </cellStyles>
  <dxfs count="0"/>
  <tableStyles count="0" defaultTableStyle="TableStyleMedium2" defaultPivotStyle="PivotStyleLight16"/>
  <colors>
    <mruColors>
      <color rgb="FF33CCCC"/>
      <color rgb="FF00FFFF"/>
      <color rgb="FF33CCFF"/>
      <color rgb="FF009999"/>
      <color rgb="FF006666"/>
      <color rgb="FF336699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A2" workbookViewId="0">
      <selection activeCell="A12" sqref="A12:R13"/>
    </sheetView>
  </sheetViews>
  <sheetFormatPr defaultColWidth="8.625" defaultRowHeight="15"/>
  <cols>
    <col min="1" max="1" width="33.875" style="1" customWidth="1"/>
    <col min="2" max="2" width="1.5" style="1" customWidth="1"/>
    <col min="3" max="3" width="4.875" style="1" customWidth="1"/>
    <col min="4" max="4" width="81" style="1" hidden="1" customWidth="1"/>
    <col min="5" max="5" width="0.875" style="1" customWidth="1"/>
    <col min="6" max="6" width="13.375" style="1" customWidth="1"/>
    <col min="7" max="7" width="2.375" style="1" customWidth="1"/>
    <col min="8" max="8" width="9.25" style="1" customWidth="1"/>
    <col min="9" max="9" width="5.5" style="1" customWidth="1"/>
    <col min="10" max="10" width="8.625" style="1"/>
    <col min="11" max="11" width="4.875" style="1" customWidth="1"/>
    <col min="12" max="12" width="8.625" style="1" customWidth="1"/>
    <col min="13" max="13" width="5.125" style="1" customWidth="1"/>
    <col min="14" max="14" width="8.625" style="1"/>
    <col min="15" max="15" width="4.125" style="1" customWidth="1"/>
    <col min="16" max="16384" width="8.625" style="1"/>
  </cols>
  <sheetData>
    <row r="1" spans="1:18" ht="8.25" hidden="1" customHeight="1"/>
    <row r="2" spans="1:18" ht="15" customHeight="1">
      <c r="A2" s="44" t="s">
        <v>365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8" ht="15.75" customHeight="1">
      <c r="A3" s="44" t="s">
        <v>366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8" ht="15.75" customHeight="1">
      <c r="A4" s="231" t="s">
        <v>367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</row>
    <row r="5" spans="1:18" ht="21" customHeight="1">
      <c r="A5" s="283" t="s">
        <v>349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</row>
    <row r="6" spans="1:18" ht="21" customHeight="1">
      <c r="A6" s="283" t="s">
        <v>336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</row>
    <row r="7" spans="1:18" ht="21" customHeight="1">
      <c r="A7" s="258"/>
      <c r="B7" s="258"/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</row>
    <row r="8" spans="1:18" ht="16.5" customHeight="1">
      <c r="A8" s="232"/>
      <c r="B8" s="232"/>
      <c r="C8" s="232"/>
      <c r="D8" s="232"/>
      <c r="E8" s="232"/>
      <c r="F8" s="232"/>
      <c r="G8" s="232"/>
      <c r="H8" s="232"/>
      <c r="I8" s="232"/>
      <c r="J8" s="231"/>
      <c r="K8" s="231"/>
      <c r="L8" s="231"/>
      <c r="M8" s="231"/>
      <c r="N8" s="231"/>
      <c r="O8" s="231"/>
    </row>
    <row r="9" spans="1:18" ht="15.75">
      <c r="A9" s="232" t="s">
        <v>141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</row>
    <row r="10" spans="1:18" s="4" customFormat="1" ht="15.75">
      <c r="A10" s="232"/>
      <c r="B10" s="232" t="s">
        <v>0</v>
      </c>
      <c r="C10" s="232"/>
      <c r="D10" s="94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</row>
    <row r="11" spans="1:18" ht="15.75">
      <c r="A11" s="232"/>
      <c r="B11" s="231"/>
      <c r="C11" s="231"/>
      <c r="D11" s="44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</row>
    <row r="12" spans="1:18" customFormat="1" ht="15.75" customHeight="1">
      <c r="A12" s="279" t="s">
        <v>350</v>
      </c>
      <c r="B12" s="279"/>
      <c r="C12" s="279"/>
      <c r="D12" s="279"/>
      <c r="E12" s="279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79"/>
      <c r="Q12" s="279"/>
      <c r="R12" s="279"/>
    </row>
    <row r="13" spans="1:18" customFormat="1" ht="24.75" customHeight="1">
      <c r="A13" s="279"/>
      <c r="B13" s="279"/>
      <c r="C13" s="279"/>
      <c r="D13" s="279"/>
      <c r="E13" s="279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79"/>
      <c r="Q13" s="279"/>
      <c r="R13" s="279"/>
    </row>
    <row r="14" spans="1:18" customFormat="1" ht="15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8" ht="15.75" hidden="1" customHeight="1">
      <c r="A15" s="231"/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</row>
    <row r="16" spans="1:18" ht="15.75">
      <c r="A16" s="232" t="s">
        <v>182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</row>
    <row r="17" spans="1:15" ht="15.75">
      <c r="A17" s="232"/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</row>
    <row r="18" spans="1:15" ht="9.75" customHeight="1">
      <c r="A18" s="232"/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</row>
    <row r="19" spans="1:15" ht="52.5" customHeight="1">
      <c r="A19" s="281"/>
      <c r="B19" s="281"/>
      <c r="C19" s="281"/>
      <c r="D19" s="281"/>
      <c r="E19" s="281"/>
      <c r="F19" s="281"/>
      <c r="G19" s="281"/>
      <c r="H19" s="281"/>
      <c r="I19" s="281"/>
      <c r="J19" s="277" t="s">
        <v>266</v>
      </c>
      <c r="K19" s="277"/>
      <c r="L19" s="277" t="s">
        <v>337</v>
      </c>
      <c r="M19" s="277"/>
      <c r="N19" s="277" t="s">
        <v>338</v>
      </c>
      <c r="O19" s="277"/>
    </row>
    <row r="20" spans="1:15" ht="15.75" customHeight="1">
      <c r="A20" s="280" t="s">
        <v>183</v>
      </c>
      <c r="B20" s="280"/>
      <c r="C20" s="280"/>
      <c r="D20" s="280"/>
      <c r="E20" s="280"/>
      <c r="F20" s="280"/>
      <c r="G20" s="280"/>
      <c r="H20" s="280"/>
      <c r="I20" s="280"/>
      <c r="J20" s="278">
        <f>J22+J24</f>
        <v>6604803.3000000007</v>
      </c>
      <c r="K20" s="278"/>
      <c r="L20" s="278">
        <f>L22+L24</f>
        <v>-2579536.3200000003</v>
      </c>
      <c r="M20" s="278"/>
      <c r="N20" s="278">
        <f>N22+N24</f>
        <v>4025266.9800000004</v>
      </c>
      <c r="O20" s="278"/>
    </row>
    <row r="21" spans="1:15" ht="11.25" customHeight="1">
      <c r="A21" s="280"/>
      <c r="B21" s="280"/>
      <c r="C21" s="280"/>
      <c r="D21" s="280"/>
      <c r="E21" s="280"/>
      <c r="F21" s="280"/>
      <c r="G21" s="280"/>
      <c r="H21" s="280"/>
      <c r="I21" s="280"/>
      <c r="J21" s="278"/>
      <c r="K21" s="278"/>
      <c r="L21" s="278"/>
      <c r="M21" s="278"/>
      <c r="N21" s="278"/>
      <c r="O21" s="278"/>
    </row>
    <row r="22" spans="1:15" ht="15.75" customHeight="1">
      <c r="A22" s="275" t="s">
        <v>184</v>
      </c>
      <c r="B22" s="275"/>
      <c r="C22" s="275"/>
      <c r="D22" s="275"/>
      <c r="E22" s="275"/>
      <c r="F22" s="275"/>
      <c r="G22" s="275"/>
      <c r="H22" s="275"/>
      <c r="I22" s="275"/>
      <c r="J22" s="282">
        <v>6412645.8600000003</v>
      </c>
      <c r="K22" s="282"/>
      <c r="L22" s="282">
        <v>-2623928.58</v>
      </c>
      <c r="M22" s="282"/>
      <c r="N22" s="282">
        <f>J22+L22</f>
        <v>3788717.2800000003</v>
      </c>
      <c r="O22" s="282"/>
    </row>
    <row r="23" spans="1:15" ht="4.5" customHeight="1">
      <c r="A23" s="275"/>
      <c r="B23" s="275"/>
      <c r="C23" s="275"/>
      <c r="D23" s="275"/>
      <c r="E23" s="275"/>
      <c r="F23" s="275"/>
      <c r="G23" s="275"/>
      <c r="H23" s="275"/>
      <c r="I23" s="275"/>
      <c r="J23" s="282"/>
      <c r="K23" s="282"/>
      <c r="L23" s="282"/>
      <c r="M23" s="282"/>
      <c r="N23" s="282"/>
      <c r="O23" s="282"/>
    </row>
    <row r="24" spans="1:15" ht="15.75" customHeight="1">
      <c r="A24" s="275" t="s">
        <v>308</v>
      </c>
      <c r="B24" s="275"/>
      <c r="C24" s="275"/>
      <c r="D24" s="275"/>
      <c r="E24" s="275"/>
      <c r="F24" s="275"/>
      <c r="G24" s="275"/>
      <c r="H24" s="275"/>
      <c r="I24" s="275"/>
      <c r="J24" s="282">
        <v>192157.44</v>
      </c>
      <c r="K24" s="282"/>
      <c r="L24" s="282">
        <v>44392.26</v>
      </c>
      <c r="M24" s="282"/>
      <c r="N24" s="282">
        <f>J24+L24</f>
        <v>236549.7</v>
      </c>
      <c r="O24" s="282"/>
    </row>
    <row r="25" spans="1:15" ht="6.75" customHeight="1">
      <c r="A25" s="275"/>
      <c r="B25" s="275"/>
      <c r="C25" s="275"/>
      <c r="D25" s="275"/>
      <c r="E25" s="275"/>
      <c r="F25" s="275"/>
      <c r="G25" s="275"/>
      <c r="H25" s="275"/>
      <c r="I25" s="275"/>
      <c r="J25" s="282"/>
      <c r="K25" s="282"/>
      <c r="L25" s="282"/>
      <c r="M25" s="282"/>
      <c r="N25" s="282"/>
      <c r="O25" s="282"/>
    </row>
    <row r="26" spans="1:15" ht="15.75" customHeight="1">
      <c r="A26" s="280" t="s">
        <v>185</v>
      </c>
      <c r="B26" s="280"/>
      <c r="C26" s="280"/>
      <c r="D26" s="280"/>
      <c r="E26" s="280"/>
      <c r="F26" s="280"/>
      <c r="G26" s="280"/>
      <c r="H26" s="280"/>
      <c r="I26" s="280"/>
      <c r="J26" s="278">
        <f>J28+J30</f>
        <v>7915826.1799999997</v>
      </c>
      <c r="K26" s="278"/>
      <c r="L26" s="278">
        <f>L28+L30</f>
        <v>-2413141.5099999998</v>
      </c>
      <c r="M26" s="278"/>
      <c r="N26" s="278">
        <f>N28+N30</f>
        <v>5502684.6699999999</v>
      </c>
      <c r="O26" s="278"/>
    </row>
    <row r="27" spans="1:15" ht="9.75" customHeight="1">
      <c r="A27" s="280"/>
      <c r="B27" s="280"/>
      <c r="C27" s="280"/>
      <c r="D27" s="280"/>
      <c r="E27" s="280"/>
      <c r="F27" s="280"/>
      <c r="G27" s="280"/>
      <c r="H27" s="280"/>
      <c r="I27" s="280"/>
      <c r="J27" s="278"/>
      <c r="K27" s="278"/>
      <c r="L27" s="278"/>
      <c r="M27" s="278"/>
      <c r="N27" s="278"/>
      <c r="O27" s="278"/>
    </row>
    <row r="28" spans="1:15" ht="15.75" customHeight="1">
      <c r="A28" s="275" t="s">
        <v>186</v>
      </c>
      <c r="B28" s="275"/>
      <c r="C28" s="275"/>
      <c r="D28" s="275"/>
      <c r="E28" s="275"/>
      <c r="F28" s="275"/>
      <c r="G28" s="275"/>
      <c r="H28" s="275"/>
      <c r="I28" s="275"/>
      <c r="J28" s="282">
        <v>2245783.98</v>
      </c>
      <c r="K28" s="282"/>
      <c r="L28" s="282">
        <v>-158111.94</v>
      </c>
      <c r="M28" s="282"/>
      <c r="N28" s="282">
        <f>J28+L28</f>
        <v>2087672.04</v>
      </c>
      <c r="O28" s="282"/>
    </row>
    <row r="29" spans="1:15" ht="5.25" customHeight="1">
      <c r="A29" s="275"/>
      <c r="B29" s="275"/>
      <c r="C29" s="275"/>
      <c r="D29" s="275"/>
      <c r="E29" s="275"/>
      <c r="F29" s="275"/>
      <c r="G29" s="275"/>
      <c r="H29" s="275"/>
      <c r="I29" s="275"/>
      <c r="J29" s="282"/>
      <c r="K29" s="282"/>
      <c r="L29" s="282"/>
      <c r="M29" s="282"/>
      <c r="N29" s="282"/>
      <c r="O29" s="282"/>
    </row>
    <row r="30" spans="1:15" ht="15.75" customHeight="1">
      <c r="A30" s="275" t="s">
        <v>309</v>
      </c>
      <c r="B30" s="275"/>
      <c r="C30" s="275"/>
      <c r="D30" s="275"/>
      <c r="E30" s="275"/>
      <c r="F30" s="275"/>
      <c r="G30" s="275"/>
      <c r="H30" s="275"/>
      <c r="I30" s="275"/>
      <c r="J30" s="282">
        <v>5670042.2000000002</v>
      </c>
      <c r="K30" s="282"/>
      <c r="L30" s="282">
        <v>-2255029.5699999998</v>
      </c>
      <c r="M30" s="282"/>
      <c r="N30" s="282">
        <f>J30+L30</f>
        <v>3415012.6300000004</v>
      </c>
      <c r="O30" s="282"/>
    </row>
    <row r="31" spans="1:15" ht="6.75" customHeight="1">
      <c r="A31" s="275"/>
      <c r="B31" s="275"/>
      <c r="C31" s="275"/>
      <c r="D31" s="275"/>
      <c r="E31" s="275"/>
      <c r="F31" s="275"/>
      <c r="G31" s="275"/>
      <c r="H31" s="275"/>
      <c r="I31" s="275"/>
      <c r="J31" s="282"/>
      <c r="K31" s="282"/>
      <c r="L31" s="282"/>
      <c r="M31" s="282"/>
      <c r="N31" s="282"/>
      <c r="O31" s="282"/>
    </row>
    <row r="32" spans="1:15" ht="15.75" customHeight="1">
      <c r="A32" s="280" t="s">
        <v>187</v>
      </c>
      <c r="B32" s="280"/>
      <c r="C32" s="280"/>
      <c r="D32" s="280"/>
      <c r="E32" s="280"/>
      <c r="F32" s="280"/>
      <c r="G32" s="280"/>
      <c r="H32" s="280"/>
      <c r="I32" s="280"/>
      <c r="J32" s="278">
        <f>J20-J26</f>
        <v>-1311022.879999999</v>
      </c>
      <c r="K32" s="278"/>
      <c r="L32" s="278">
        <f>L20-L26</f>
        <v>-166394.81000000052</v>
      </c>
      <c r="M32" s="278"/>
      <c r="N32" s="278">
        <f>N20-N26</f>
        <v>-1477417.6899999995</v>
      </c>
      <c r="O32" s="278"/>
    </row>
    <row r="33" spans="1:16" ht="11.25" customHeight="1">
      <c r="A33" s="280"/>
      <c r="B33" s="280"/>
      <c r="C33" s="280"/>
      <c r="D33" s="280"/>
      <c r="E33" s="280"/>
      <c r="F33" s="280"/>
      <c r="G33" s="280"/>
      <c r="H33" s="280"/>
      <c r="I33" s="280"/>
      <c r="J33" s="278"/>
      <c r="K33" s="278"/>
      <c r="L33" s="278"/>
      <c r="M33" s="278"/>
      <c r="N33" s="278"/>
      <c r="O33" s="278"/>
    </row>
    <row r="34" spans="1:16" ht="15.75">
      <c r="A34" s="231"/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</row>
    <row r="35" spans="1:16" ht="15.75">
      <c r="A35" s="23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</row>
    <row r="36" spans="1:16" ht="15.75">
      <c r="A36" s="231"/>
      <c r="B36" s="231"/>
      <c r="C36" s="231"/>
      <c r="D36" s="231"/>
      <c r="E36" s="231"/>
      <c r="F36" s="231"/>
      <c r="G36" s="231"/>
      <c r="H36" s="231"/>
      <c r="I36" s="231"/>
      <c r="J36" s="231"/>
      <c r="K36" s="231"/>
      <c r="L36" s="231"/>
      <c r="M36" s="231"/>
      <c r="N36" s="231"/>
      <c r="O36" s="231"/>
    </row>
    <row r="37" spans="1:16" ht="15.75">
      <c r="A37" s="232" t="s">
        <v>188</v>
      </c>
      <c r="B37" s="231"/>
      <c r="C37" s="231"/>
      <c r="D37" s="231"/>
      <c r="E37" s="231"/>
      <c r="F37" s="231"/>
      <c r="G37" s="231"/>
      <c r="H37" s="231"/>
      <c r="I37" s="231"/>
      <c r="J37" s="231"/>
      <c r="K37" s="231"/>
      <c r="L37" s="231"/>
      <c r="M37" s="231"/>
      <c r="N37" s="231"/>
      <c r="O37" s="231"/>
    </row>
    <row r="38" spans="1:16" ht="47.25" customHeight="1">
      <c r="A38" s="281"/>
      <c r="B38" s="281"/>
      <c r="C38" s="281"/>
      <c r="D38" s="281"/>
      <c r="E38" s="281"/>
      <c r="F38" s="281"/>
      <c r="G38" s="281"/>
      <c r="H38" s="281"/>
      <c r="I38" s="281"/>
      <c r="J38" s="277" t="s">
        <v>267</v>
      </c>
      <c r="K38" s="277"/>
      <c r="L38" s="277" t="s">
        <v>337</v>
      </c>
      <c r="M38" s="277"/>
      <c r="N38" s="277" t="s">
        <v>338</v>
      </c>
      <c r="O38" s="277"/>
    </row>
    <row r="39" spans="1:16" ht="15.75" customHeight="1">
      <c r="A39" s="276" t="s">
        <v>310</v>
      </c>
      <c r="B39" s="276"/>
      <c r="C39" s="276"/>
      <c r="D39" s="276"/>
      <c r="E39" s="276"/>
      <c r="F39" s="276"/>
      <c r="G39" s="276"/>
      <c r="H39" s="276"/>
      <c r="I39" s="276"/>
      <c r="J39" s="282">
        <v>628246.34</v>
      </c>
      <c r="K39" s="282"/>
      <c r="L39" s="282">
        <v>94669.59</v>
      </c>
      <c r="M39" s="282"/>
      <c r="N39" s="282">
        <f>J39+L39</f>
        <v>722915.92999999993</v>
      </c>
      <c r="O39" s="282"/>
    </row>
    <row r="40" spans="1:16" ht="15" customHeight="1">
      <c r="A40" s="276"/>
      <c r="B40" s="276"/>
      <c r="C40" s="276"/>
      <c r="D40" s="276"/>
      <c r="E40" s="276"/>
      <c r="F40" s="276"/>
      <c r="G40" s="276"/>
      <c r="H40" s="276"/>
      <c r="I40" s="276"/>
      <c r="J40" s="282"/>
      <c r="K40" s="282"/>
      <c r="L40" s="282"/>
      <c r="M40" s="282"/>
      <c r="N40" s="282"/>
      <c r="O40" s="282"/>
    </row>
    <row r="41" spans="1:16" ht="15.75" customHeight="1">
      <c r="A41" s="276" t="s">
        <v>311</v>
      </c>
      <c r="B41" s="276"/>
      <c r="C41" s="276"/>
      <c r="D41" s="276"/>
      <c r="E41" s="276"/>
      <c r="F41" s="276"/>
      <c r="G41" s="276"/>
      <c r="H41" s="276"/>
      <c r="I41" s="276"/>
      <c r="J41" s="282">
        <v>91633.64</v>
      </c>
      <c r="K41" s="282"/>
      <c r="L41" s="282">
        <v>-71725.22</v>
      </c>
      <c r="M41" s="282"/>
      <c r="N41" s="282">
        <f>J41+L41</f>
        <v>19908.419999999998</v>
      </c>
      <c r="O41" s="282"/>
    </row>
    <row r="42" spans="1:16" ht="13.5" customHeight="1">
      <c r="A42" s="276"/>
      <c r="B42" s="276"/>
      <c r="C42" s="276"/>
      <c r="D42" s="276"/>
      <c r="E42" s="276"/>
      <c r="F42" s="276"/>
      <c r="G42" s="276"/>
      <c r="H42" s="276"/>
      <c r="I42" s="276"/>
      <c r="J42" s="282"/>
      <c r="K42" s="282"/>
      <c r="L42" s="282"/>
      <c r="M42" s="282"/>
      <c r="N42" s="282"/>
      <c r="O42" s="282"/>
    </row>
    <row r="43" spans="1:16" ht="15.75" customHeight="1">
      <c r="A43" s="280" t="s">
        <v>189</v>
      </c>
      <c r="B43" s="280"/>
      <c r="C43" s="280"/>
      <c r="D43" s="280"/>
      <c r="E43" s="280"/>
      <c r="F43" s="280"/>
      <c r="G43" s="280"/>
      <c r="H43" s="280"/>
      <c r="I43" s="280"/>
      <c r="J43" s="278">
        <f>J39-J41</f>
        <v>536612.69999999995</v>
      </c>
      <c r="K43" s="278"/>
      <c r="L43" s="278">
        <f>L39+L41</f>
        <v>22944.369999999995</v>
      </c>
      <c r="M43" s="278"/>
      <c r="N43" s="278">
        <f>J43+L43</f>
        <v>559557.06999999995</v>
      </c>
      <c r="O43" s="278"/>
    </row>
    <row r="44" spans="1:16" ht="5.25" customHeight="1">
      <c r="A44" s="280"/>
      <c r="B44" s="280"/>
      <c r="C44" s="280"/>
      <c r="D44" s="280"/>
      <c r="E44" s="280"/>
      <c r="F44" s="280"/>
      <c r="G44" s="280"/>
      <c r="H44" s="280"/>
      <c r="I44" s="280"/>
      <c r="J44" s="278"/>
      <c r="K44" s="278"/>
      <c r="L44" s="278"/>
      <c r="M44" s="278"/>
      <c r="N44" s="278"/>
      <c r="O44" s="278"/>
    </row>
    <row r="45" spans="1:16" ht="15.75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</row>
    <row r="46" spans="1:16" ht="15.75">
      <c r="A46" s="94" t="s">
        <v>244</v>
      </c>
      <c r="B46" s="234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1"/>
    </row>
    <row r="47" spans="1:16" ht="45" customHeight="1">
      <c r="A47" s="281"/>
      <c r="B47" s="281"/>
      <c r="C47" s="281"/>
      <c r="D47" s="281"/>
      <c r="E47" s="281"/>
      <c r="F47" s="281"/>
      <c r="G47" s="281"/>
      <c r="H47" s="281"/>
      <c r="I47" s="281"/>
      <c r="J47" s="277" t="s">
        <v>267</v>
      </c>
      <c r="K47" s="277"/>
      <c r="L47" s="277" t="s">
        <v>337</v>
      </c>
      <c r="M47" s="277"/>
      <c r="N47" s="277" t="s">
        <v>338</v>
      </c>
      <c r="O47" s="277"/>
      <c r="P47" s="231"/>
    </row>
    <row r="48" spans="1:16" ht="10.5" customHeight="1">
      <c r="A48" s="275" t="s">
        <v>242</v>
      </c>
      <c r="B48" s="275"/>
      <c r="C48" s="275"/>
      <c r="D48" s="275"/>
      <c r="E48" s="275"/>
      <c r="F48" s="275"/>
      <c r="G48" s="275"/>
      <c r="H48" s="275"/>
      <c r="I48" s="275"/>
      <c r="J48" s="278">
        <v>774410.18</v>
      </c>
      <c r="K48" s="278"/>
      <c r="L48" s="278">
        <v>0</v>
      </c>
      <c r="M48" s="278"/>
      <c r="N48" s="278">
        <f>J48+L48</f>
        <v>774410.18</v>
      </c>
      <c r="O48" s="278"/>
    </row>
    <row r="49" spans="1:15" ht="10.5" customHeight="1">
      <c r="A49" s="275"/>
      <c r="B49" s="275"/>
      <c r="C49" s="275"/>
      <c r="D49" s="275"/>
      <c r="E49" s="275"/>
      <c r="F49" s="275"/>
      <c r="G49" s="275"/>
      <c r="H49" s="275"/>
      <c r="I49" s="275"/>
      <c r="J49" s="278"/>
      <c r="K49" s="278"/>
      <c r="L49" s="278"/>
      <c r="M49" s="278"/>
      <c r="N49" s="278"/>
      <c r="O49" s="278"/>
    </row>
    <row r="50" spans="1:15" ht="15.75" customHeight="1">
      <c r="A50" s="276" t="s">
        <v>245</v>
      </c>
      <c r="B50" s="276"/>
      <c r="C50" s="276"/>
      <c r="D50" s="276"/>
      <c r="E50" s="276"/>
      <c r="F50" s="276"/>
      <c r="G50" s="276"/>
      <c r="H50" s="276"/>
      <c r="I50" s="276"/>
      <c r="J50" s="278">
        <v>0</v>
      </c>
      <c r="K50" s="278"/>
      <c r="L50" s="278">
        <v>0</v>
      </c>
      <c r="M50" s="278"/>
      <c r="N50" s="278">
        <f>J50+L50</f>
        <v>0</v>
      </c>
      <c r="O50" s="278"/>
    </row>
    <row r="51" spans="1:15" ht="7.5" customHeight="1">
      <c r="A51" s="276"/>
      <c r="B51" s="276"/>
      <c r="C51" s="276"/>
      <c r="D51" s="276"/>
      <c r="E51" s="276"/>
      <c r="F51" s="276"/>
      <c r="G51" s="276"/>
      <c r="H51" s="276"/>
      <c r="I51" s="276"/>
      <c r="J51" s="278"/>
      <c r="K51" s="278"/>
      <c r="L51" s="278"/>
      <c r="M51" s="278"/>
      <c r="N51" s="278"/>
      <c r="O51" s="278"/>
    </row>
    <row r="52" spans="1:15" ht="15.75" customHeight="1">
      <c r="A52" s="276" t="s">
        <v>243</v>
      </c>
      <c r="B52" s="276"/>
      <c r="C52" s="276"/>
      <c r="D52" s="276"/>
      <c r="E52" s="276"/>
      <c r="F52" s="276"/>
      <c r="G52" s="276"/>
      <c r="H52" s="276"/>
      <c r="I52" s="276"/>
      <c r="J52" s="278">
        <v>0</v>
      </c>
      <c r="K52" s="278"/>
      <c r="L52" s="278">
        <v>0</v>
      </c>
      <c r="M52" s="278"/>
      <c r="N52" s="278">
        <f>J52+L52</f>
        <v>0</v>
      </c>
      <c r="O52" s="278"/>
    </row>
    <row r="53" spans="1:15" ht="20.25" customHeight="1">
      <c r="A53" s="276"/>
      <c r="B53" s="276"/>
      <c r="C53" s="276"/>
      <c r="D53" s="276"/>
      <c r="E53" s="276"/>
      <c r="F53" s="276"/>
      <c r="G53" s="276"/>
      <c r="H53" s="276"/>
      <c r="I53" s="276"/>
      <c r="J53" s="278"/>
      <c r="K53" s="278"/>
      <c r="L53" s="278"/>
      <c r="M53" s="278"/>
      <c r="N53" s="278"/>
      <c r="O53" s="278"/>
    </row>
    <row r="54" spans="1:15" ht="17.25" customHeight="1">
      <c r="A54" s="44"/>
      <c r="B54" s="44"/>
      <c r="C54" s="44"/>
      <c r="D54" s="44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31"/>
    </row>
    <row r="55" spans="1:15" ht="15.75">
      <c r="A55" s="234" t="s">
        <v>237</v>
      </c>
      <c r="B55" s="44"/>
      <c r="C55" s="44"/>
      <c r="D55" s="44"/>
      <c r="E55" s="44"/>
      <c r="F55" s="233"/>
      <c r="G55" s="233"/>
      <c r="H55" s="44"/>
      <c r="I55" s="44"/>
      <c r="J55" s="44"/>
      <c r="K55" s="44"/>
      <c r="L55" s="44"/>
      <c r="M55" s="44"/>
      <c r="N55" s="44"/>
      <c r="O55" s="231"/>
    </row>
    <row r="56" spans="1:15" ht="47.25" customHeight="1">
      <c r="A56" s="281"/>
      <c r="B56" s="281"/>
      <c r="C56" s="281"/>
      <c r="D56" s="281"/>
      <c r="E56" s="281"/>
      <c r="F56" s="281"/>
      <c r="G56" s="281"/>
      <c r="H56" s="281"/>
      <c r="I56" s="281"/>
      <c r="J56" s="277" t="s">
        <v>267</v>
      </c>
      <c r="K56" s="277"/>
      <c r="L56" s="277" t="s">
        <v>337</v>
      </c>
      <c r="M56" s="277"/>
      <c r="N56" s="277" t="s">
        <v>338</v>
      </c>
      <c r="O56" s="277"/>
    </row>
    <row r="57" spans="1:15" ht="15.75" customHeight="1">
      <c r="A57" s="276" t="s">
        <v>238</v>
      </c>
      <c r="B57" s="276"/>
      <c r="C57" s="276"/>
      <c r="D57" s="276"/>
      <c r="E57" s="276"/>
      <c r="F57" s="276"/>
      <c r="G57" s="276"/>
      <c r="H57" s="276"/>
      <c r="I57" s="276"/>
      <c r="J57" s="278">
        <v>0</v>
      </c>
      <c r="K57" s="278"/>
      <c r="L57" s="278">
        <v>0</v>
      </c>
      <c r="M57" s="278"/>
      <c r="N57" s="278">
        <v>0</v>
      </c>
      <c r="O57" s="278"/>
    </row>
    <row r="58" spans="1:15" ht="7.5" customHeight="1">
      <c r="A58" s="276"/>
      <c r="B58" s="276"/>
      <c r="C58" s="276"/>
      <c r="D58" s="276"/>
      <c r="E58" s="276"/>
      <c r="F58" s="276"/>
      <c r="G58" s="276"/>
      <c r="H58" s="276"/>
      <c r="I58" s="276"/>
      <c r="J58" s="278"/>
      <c r="K58" s="278"/>
      <c r="L58" s="278"/>
      <c r="M58" s="278"/>
      <c r="N58" s="278"/>
      <c r="O58" s="278"/>
    </row>
    <row r="59" spans="1:15" ht="15.75" customHeight="1">
      <c r="A59" s="276" t="s">
        <v>239</v>
      </c>
      <c r="B59" s="276"/>
      <c r="C59" s="276"/>
      <c r="D59" s="276"/>
      <c r="E59" s="276"/>
      <c r="F59" s="276"/>
      <c r="G59" s="276"/>
      <c r="H59" s="276"/>
      <c r="I59" s="276"/>
      <c r="J59" s="278">
        <v>0</v>
      </c>
      <c r="K59" s="278"/>
      <c r="L59" s="278">
        <v>0</v>
      </c>
      <c r="M59" s="278"/>
      <c r="N59" s="278">
        <v>0</v>
      </c>
      <c r="O59" s="278"/>
    </row>
    <row r="60" spans="1:15" ht="6" customHeight="1">
      <c r="A60" s="276"/>
      <c r="B60" s="276"/>
      <c r="C60" s="276"/>
      <c r="D60" s="276"/>
      <c r="E60" s="276"/>
      <c r="F60" s="276"/>
      <c r="G60" s="276"/>
      <c r="H60" s="276"/>
      <c r="I60" s="276"/>
      <c r="J60" s="278"/>
      <c r="K60" s="278"/>
      <c r="L60" s="278"/>
      <c r="M60" s="278"/>
      <c r="N60" s="278"/>
      <c r="O60" s="278"/>
    </row>
    <row r="61" spans="1:15" ht="15.75" customHeight="1">
      <c r="A61" s="275" t="s">
        <v>240</v>
      </c>
      <c r="B61" s="275"/>
      <c r="C61" s="275"/>
      <c r="D61" s="275"/>
      <c r="E61" s="275"/>
      <c r="F61" s="275"/>
      <c r="G61" s="275"/>
      <c r="H61" s="275"/>
      <c r="I61" s="275"/>
      <c r="J61" s="278">
        <v>0</v>
      </c>
      <c r="K61" s="278"/>
      <c r="L61" s="278">
        <v>0</v>
      </c>
      <c r="M61" s="278"/>
      <c r="N61" s="278">
        <v>0</v>
      </c>
      <c r="O61" s="278"/>
    </row>
    <row r="62" spans="1:15" ht="4.5" customHeight="1">
      <c r="A62" s="275"/>
      <c r="B62" s="275"/>
      <c r="C62" s="275"/>
      <c r="D62" s="275"/>
      <c r="E62" s="275"/>
      <c r="F62" s="275"/>
      <c r="G62" s="275"/>
      <c r="H62" s="275"/>
      <c r="I62" s="275"/>
      <c r="J62" s="278"/>
      <c r="K62" s="278"/>
      <c r="L62" s="278"/>
      <c r="M62" s="278"/>
      <c r="N62" s="278"/>
      <c r="O62" s="278"/>
    </row>
    <row r="63" spans="1:15" ht="19.5" customHeight="1">
      <c r="A63" s="276" t="s">
        <v>241</v>
      </c>
      <c r="B63" s="276"/>
      <c r="C63" s="276"/>
      <c r="D63" s="276"/>
      <c r="E63" s="276"/>
      <c r="F63" s="276"/>
      <c r="G63" s="276"/>
      <c r="H63" s="276"/>
      <c r="I63" s="276"/>
      <c r="J63" s="278">
        <v>0</v>
      </c>
      <c r="K63" s="278"/>
      <c r="L63" s="278">
        <v>0</v>
      </c>
      <c r="M63" s="278"/>
      <c r="N63" s="278">
        <v>0</v>
      </c>
      <c r="O63" s="278"/>
    </row>
    <row r="64" spans="1:15" ht="6.75" hidden="1" customHeight="1">
      <c r="A64" s="276"/>
      <c r="B64" s="276"/>
      <c r="C64" s="276"/>
      <c r="D64" s="276"/>
      <c r="E64" s="276"/>
      <c r="F64" s="276"/>
      <c r="G64" s="276"/>
      <c r="H64" s="276"/>
      <c r="I64" s="276"/>
      <c r="J64" s="267"/>
      <c r="K64" s="267"/>
      <c r="L64" s="267"/>
      <c r="M64" s="267"/>
      <c r="N64" s="267"/>
      <c r="O64" s="267"/>
    </row>
  </sheetData>
  <mergeCells count="87">
    <mergeCell ref="N63:O63"/>
    <mergeCell ref="A19:I19"/>
    <mergeCell ref="N19:O19"/>
    <mergeCell ref="L19:M19"/>
    <mergeCell ref="J19:K19"/>
    <mergeCell ref="N32:O33"/>
    <mergeCell ref="N30:O31"/>
    <mergeCell ref="L32:M33"/>
    <mergeCell ref="L30:M31"/>
    <mergeCell ref="J32:K33"/>
    <mergeCell ref="J30:K31"/>
    <mergeCell ref="A20:I21"/>
    <mergeCell ref="N20:O21"/>
    <mergeCell ref="L20:M21"/>
    <mergeCell ref="J20:K21"/>
    <mergeCell ref="N28:O29"/>
    <mergeCell ref="J26:K27"/>
    <mergeCell ref="L26:M27"/>
    <mergeCell ref="N26:O27"/>
    <mergeCell ref="N41:O42"/>
    <mergeCell ref="N38:O38"/>
    <mergeCell ref="N39:O40"/>
    <mergeCell ref="A5:O5"/>
    <mergeCell ref="A6:O6"/>
    <mergeCell ref="A32:I33"/>
    <mergeCell ref="J24:K25"/>
    <mergeCell ref="L24:M25"/>
    <mergeCell ref="N24:O25"/>
    <mergeCell ref="J22:K23"/>
    <mergeCell ref="L22:M23"/>
    <mergeCell ref="N22:O23"/>
    <mergeCell ref="A22:I23"/>
    <mergeCell ref="A24:I25"/>
    <mergeCell ref="A30:I31"/>
    <mergeCell ref="A28:I29"/>
    <mergeCell ref="A26:I27"/>
    <mergeCell ref="J28:K29"/>
    <mergeCell ref="L28:M29"/>
    <mergeCell ref="A50:I51"/>
    <mergeCell ref="A56:I56"/>
    <mergeCell ref="A57:I58"/>
    <mergeCell ref="A59:I60"/>
    <mergeCell ref="A52:I53"/>
    <mergeCell ref="A12:R13"/>
    <mergeCell ref="A43:I44"/>
    <mergeCell ref="N43:O44"/>
    <mergeCell ref="A47:I47"/>
    <mergeCell ref="A48:I49"/>
    <mergeCell ref="A38:I38"/>
    <mergeCell ref="A39:I40"/>
    <mergeCell ref="A41:I42"/>
    <mergeCell ref="J39:K40"/>
    <mergeCell ref="J41:K42"/>
    <mergeCell ref="J38:K38"/>
    <mergeCell ref="L38:M38"/>
    <mergeCell ref="L39:M40"/>
    <mergeCell ref="L43:M44"/>
    <mergeCell ref="J43:K44"/>
    <mergeCell ref="L41:M42"/>
    <mergeCell ref="J47:K47"/>
    <mergeCell ref="L47:M47"/>
    <mergeCell ref="N47:O47"/>
    <mergeCell ref="J48:K49"/>
    <mergeCell ref="L48:M49"/>
    <mergeCell ref="N48:O49"/>
    <mergeCell ref="J50:K51"/>
    <mergeCell ref="L50:M51"/>
    <mergeCell ref="N50:O51"/>
    <mergeCell ref="J52:K53"/>
    <mergeCell ref="L52:M53"/>
    <mergeCell ref="N52:O53"/>
    <mergeCell ref="A61:I62"/>
    <mergeCell ref="A63:I64"/>
    <mergeCell ref="J56:K56"/>
    <mergeCell ref="L56:M56"/>
    <mergeCell ref="N56:O56"/>
    <mergeCell ref="J57:K58"/>
    <mergeCell ref="L57:M58"/>
    <mergeCell ref="N57:O58"/>
    <mergeCell ref="J59:K60"/>
    <mergeCell ref="L59:M60"/>
    <mergeCell ref="N59:O60"/>
    <mergeCell ref="J61:K62"/>
    <mergeCell ref="L61:M62"/>
    <mergeCell ref="N61:O62"/>
    <mergeCell ref="J63:K63"/>
    <mergeCell ref="L63:M63"/>
  </mergeCells>
  <pageMargins left="0.70826771653543308" right="0.70826771653543308" top="1.1417322834645671" bottom="1.1417322834645671" header="0.74803149606299213" footer="0.74803149606299213"/>
  <pageSetup paperSize="9" scale="8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topLeftCell="A31" workbookViewId="0">
      <selection activeCell="M16" sqref="M16:N16"/>
    </sheetView>
  </sheetViews>
  <sheetFormatPr defaultRowHeight="14.25"/>
  <cols>
    <col min="1" max="2" width="7" customWidth="1"/>
    <col min="3" max="3" width="9" customWidth="1"/>
    <col min="6" max="6" width="5.375" customWidth="1"/>
    <col min="8" max="8" width="4.25" customWidth="1"/>
    <col min="10" max="10" width="4.5" customWidth="1"/>
    <col min="12" max="12" width="4.25" customWidth="1"/>
    <col min="14" max="14" width="6.375" customWidth="1"/>
  </cols>
  <sheetData>
    <row r="2" spans="1:15" ht="15.75" customHeight="1">
      <c r="A2" s="284" t="s">
        <v>342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</row>
    <row r="3" spans="1:15" ht="15.75" customHeight="1">
      <c r="A3" s="284"/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</row>
    <row r="4" spans="1:15" ht="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15">
      <c r="A5" s="268"/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</row>
    <row r="6" spans="1:15" ht="15.75">
      <c r="A6" s="292" t="s">
        <v>190</v>
      </c>
      <c r="B6" s="292"/>
      <c r="C6" s="292"/>
      <c r="D6" s="292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</row>
    <row r="7" spans="1:15" ht="15.75">
      <c r="A7" s="242"/>
      <c r="B7" s="242"/>
      <c r="C7" s="242"/>
      <c r="D7" s="242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</row>
    <row r="8" spans="1:15" ht="15.75">
      <c r="A8" s="242"/>
      <c r="B8" s="242"/>
      <c r="C8" s="242"/>
      <c r="D8" s="242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</row>
    <row r="9" spans="1:15" ht="15.75">
      <c r="A9" s="293" t="s">
        <v>184</v>
      </c>
      <c r="B9" s="293"/>
      <c r="C9" s="293"/>
      <c r="D9" s="293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</row>
    <row r="10" spans="1:15" ht="15.75">
      <c r="A10" s="93"/>
      <c r="B10" s="93"/>
      <c r="C10" s="93"/>
      <c r="D10" s="93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8"/>
    </row>
    <row r="11" spans="1:15" ht="15.75">
      <c r="A11" s="93"/>
      <c r="B11" s="243"/>
      <c r="C11" s="243"/>
      <c r="D11" s="243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</row>
    <row r="12" spans="1:15" ht="54.75" customHeight="1">
      <c r="A12" s="235" t="s">
        <v>218</v>
      </c>
      <c r="B12" s="235" t="s">
        <v>219</v>
      </c>
      <c r="C12" s="298" t="s">
        <v>255</v>
      </c>
      <c r="D12" s="299"/>
      <c r="E12" s="299"/>
      <c r="F12" s="299"/>
      <c r="G12" s="299"/>
      <c r="H12" s="300"/>
      <c r="I12" s="287" t="s">
        <v>267</v>
      </c>
      <c r="J12" s="288"/>
      <c r="K12" s="287" t="s">
        <v>337</v>
      </c>
      <c r="L12" s="288"/>
      <c r="M12" s="287" t="s">
        <v>338</v>
      </c>
      <c r="N12" s="288"/>
      <c r="O12" s="268"/>
    </row>
    <row r="13" spans="1:15" ht="15.75">
      <c r="A13" s="236">
        <v>6</v>
      </c>
      <c r="B13" s="236"/>
      <c r="C13" s="295" t="s">
        <v>8</v>
      </c>
      <c r="D13" s="296"/>
      <c r="E13" s="296"/>
      <c r="F13" s="296"/>
      <c r="G13" s="296"/>
      <c r="H13" s="297"/>
      <c r="I13" s="285">
        <f>I14+I15+I16+I17+I18</f>
        <v>6412645.8600000003</v>
      </c>
      <c r="J13" s="286"/>
      <c r="K13" s="285">
        <f>K14+K15+K16+K17+K18</f>
        <v>-2623928.58</v>
      </c>
      <c r="L13" s="286"/>
      <c r="M13" s="285">
        <f t="shared" ref="M13:M21" si="0">I13+K13</f>
        <v>3788717.2800000003</v>
      </c>
      <c r="N13" s="286"/>
      <c r="O13" s="268"/>
    </row>
    <row r="14" spans="1:15" ht="15.75">
      <c r="A14" s="236"/>
      <c r="B14" s="236">
        <v>61</v>
      </c>
      <c r="C14" s="295" t="s">
        <v>14</v>
      </c>
      <c r="D14" s="296"/>
      <c r="E14" s="296"/>
      <c r="F14" s="296"/>
      <c r="G14" s="296"/>
      <c r="H14" s="297"/>
      <c r="I14" s="285">
        <v>853982.02</v>
      </c>
      <c r="J14" s="286"/>
      <c r="K14" s="285">
        <v>104800</v>
      </c>
      <c r="L14" s="286"/>
      <c r="M14" s="285">
        <f>I14+K14</f>
        <v>958782.02</v>
      </c>
      <c r="N14" s="286"/>
      <c r="O14" s="268"/>
    </row>
    <row r="15" spans="1:15" ht="32.25" customHeight="1">
      <c r="A15" s="236"/>
      <c r="B15" s="236">
        <v>63</v>
      </c>
      <c r="C15" s="289" t="s">
        <v>256</v>
      </c>
      <c r="D15" s="290"/>
      <c r="E15" s="290"/>
      <c r="F15" s="290"/>
      <c r="G15" s="290"/>
      <c r="H15" s="291"/>
      <c r="I15" s="285">
        <v>2878235.56</v>
      </c>
      <c r="J15" s="286"/>
      <c r="K15" s="285">
        <v>-1348551.35</v>
      </c>
      <c r="L15" s="286"/>
      <c r="M15" s="285">
        <f>I15+K15</f>
        <v>1529684.21</v>
      </c>
      <c r="N15" s="286"/>
      <c r="O15" s="268"/>
    </row>
    <row r="16" spans="1:15" ht="15.75">
      <c r="A16" s="236"/>
      <c r="B16" s="236">
        <v>64</v>
      </c>
      <c r="C16" s="295" t="s">
        <v>15</v>
      </c>
      <c r="D16" s="296"/>
      <c r="E16" s="296"/>
      <c r="F16" s="296"/>
      <c r="G16" s="296"/>
      <c r="H16" s="297"/>
      <c r="I16" s="285">
        <v>514373.63</v>
      </c>
      <c r="J16" s="286"/>
      <c r="K16" s="285">
        <v>3367.55</v>
      </c>
      <c r="L16" s="286"/>
      <c r="M16" s="285">
        <f t="shared" si="0"/>
        <v>517741.18</v>
      </c>
      <c r="N16" s="286"/>
      <c r="O16" s="268"/>
    </row>
    <row r="17" spans="1:15" ht="29.25" customHeight="1">
      <c r="A17" s="236"/>
      <c r="B17" s="236">
        <v>65</v>
      </c>
      <c r="C17" s="289" t="s">
        <v>257</v>
      </c>
      <c r="D17" s="290"/>
      <c r="E17" s="290"/>
      <c r="F17" s="290"/>
      <c r="G17" s="290"/>
      <c r="H17" s="291"/>
      <c r="I17" s="285">
        <v>2165391.04</v>
      </c>
      <c r="J17" s="286"/>
      <c r="K17" s="285">
        <v>-1385044.78</v>
      </c>
      <c r="L17" s="286"/>
      <c r="M17" s="285">
        <f t="shared" si="0"/>
        <v>780346.26</v>
      </c>
      <c r="N17" s="286"/>
      <c r="O17" s="268"/>
    </row>
    <row r="18" spans="1:15" ht="20.25" customHeight="1">
      <c r="A18" s="236"/>
      <c r="B18" s="236">
        <v>68</v>
      </c>
      <c r="C18" s="289" t="s">
        <v>149</v>
      </c>
      <c r="D18" s="290"/>
      <c r="E18" s="290"/>
      <c r="F18" s="290"/>
      <c r="G18" s="290"/>
      <c r="H18" s="291"/>
      <c r="I18" s="285">
        <v>663.61</v>
      </c>
      <c r="J18" s="286"/>
      <c r="K18" s="285">
        <v>1500</v>
      </c>
      <c r="L18" s="286"/>
      <c r="M18" s="285">
        <f t="shared" si="0"/>
        <v>2163.61</v>
      </c>
      <c r="N18" s="286"/>
      <c r="O18" s="268"/>
    </row>
    <row r="19" spans="1:15" ht="22.5" customHeight="1">
      <c r="A19" s="236">
        <v>7</v>
      </c>
      <c r="B19" s="236"/>
      <c r="C19" s="289" t="s">
        <v>9</v>
      </c>
      <c r="D19" s="290"/>
      <c r="E19" s="290"/>
      <c r="F19" s="290"/>
      <c r="G19" s="290"/>
      <c r="H19" s="291"/>
      <c r="I19" s="285">
        <f>I20+I21</f>
        <v>192157.44</v>
      </c>
      <c r="J19" s="286"/>
      <c r="K19" s="285">
        <f>K20+K21</f>
        <v>44392.26</v>
      </c>
      <c r="L19" s="286"/>
      <c r="M19" s="285">
        <f t="shared" si="0"/>
        <v>236549.7</v>
      </c>
      <c r="N19" s="286"/>
      <c r="O19" s="268"/>
    </row>
    <row r="20" spans="1:15" ht="29.25" customHeight="1">
      <c r="A20" s="236"/>
      <c r="B20" s="236">
        <v>71</v>
      </c>
      <c r="C20" s="289" t="s">
        <v>258</v>
      </c>
      <c r="D20" s="290"/>
      <c r="E20" s="290"/>
      <c r="F20" s="290"/>
      <c r="G20" s="290"/>
      <c r="H20" s="291"/>
      <c r="I20" s="285">
        <v>192157.44</v>
      </c>
      <c r="J20" s="286"/>
      <c r="K20" s="285">
        <v>44392.26</v>
      </c>
      <c r="L20" s="286"/>
      <c r="M20" s="285">
        <f t="shared" si="0"/>
        <v>236549.7</v>
      </c>
      <c r="N20" s="286"/>
      <c r="O20" s="268"/>
    </row>
    <row r="21" spans="1:15" ht="26.25" customHeight="1">
      <c r="A21" s="236"/>
      <c r="B21" s="236">
        <v>72</v>
      </c>
      <c r="C21" s="289" t="s">
        <v>259</v>
      </c>
      <c r="D21" s="290"/>
      <c r="E21" s="290"/>
      <c r="F21" s="290"/>
      <c r="G21" s="290"/>
      <c r="H21" s="291"/>
      <c r="I21" s="285">
        <v>0</v>
      </c>
      <c r="J21" s="286"/>
      <c r="K21" s="285">
        <v>0</v>
      </c>
      <c r="L21" s="286"/>
      <c r="M21" s="285">
        <f t="shared" si="0"/>
        <v>0</v>
      </c>
      <c r="N21" s="286"/>
      <c r="O21" s="268"/>
    </row>
    <row r="22" spans="1:15" ht="15">
      <c r="A22" s="268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</row>
    <row r="23" spans="1:15" ht="15">
      <c r="A23" s="268"/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</row>
    <row r="24" spans="1:15" ht="15">
      <c r="A24" s="268"/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</row>
    <row r="25" spans="1:15" ht="15">
      <c r="A25" s="268"/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</row>
    <row r="26" spans="1:15" ht="15">
      <c r="A26" s="268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</row>
    <row r="27" spans="1:15" ht="15.75">
      <c r="A27" s="294" t="s">
        <v>186</v>
      </c>
      <c r="B27" s="294"/>
      <c r="C27" s="294"/>
      <c r="D27" s="294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</row>
    <row r="28" spans="1:15" ht="15">
      <c r="A28" s="268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</row>
    <row r="29" spans="1:15" ht="15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</row>
    <row r="30" spans="1:15" ht="60" customHeight="1">
      <c r="A30" s="235" t="s">
        <v>218</v>
      </c>
      <c r="B30" s="235" t="s">
        <v>219</v>
      </c>
      <c r="C30" s="298" t="s">
        <v>260</v>
      </c>
      <c r="D30" s="299"/>
      <c r="E30" s="299"/>
      <c r="F30" s="299"/>
      <c r="G30" s="299"/>
      <c r="H30" s="300"/>
      <c r="I30" s="287" t="s">
        <v>267</v>
      </c>
      <c r="J30" s="288"/>
      <c r="K30" s="287" t="s">
        <v>337</v>
      </c>
      <c r="L30" s="288"/>
      <c r="M30" s="287" t="s">
        <v>338</v>
      </c>
      <c r="N30" s="288"/>
      <c r="O30" s="268"/>
    </row>
    <row r="31" spans="1:15" ht="15.75">
      <c r="A31" s="236">
        <v>3</v>
      </c>
      <c r="B31" s="236"/>
      <c r="C31" s="295" t="s">
        <v>10</v>
      </c>
      <c r="D31" s="296"/>
      <c r="E31" s="296"/>
      <c r="F31" s="296"/>
      <c r="G31" s="296"/>
      <c r="H31" s="297"/>
      <c r="I31" s="285">
        <f>I32+I33+I34+I35+I36+I37+I38</f>
        <v>2245783.98</v>
      </c>
      <c r="J31" s="286"/>
      <c r="K31" s="285">
        <f>K32+K33+K34+K35+K36+K37+K38</f>
        <v>-158111.94</v>
      </c>
      <c r="L31" s="286"/>
      <c r="M31" s="285">
        <f>M32+M33+M34+M35+M36+M37+M38</f>
        <v>2087672.04</v>
      </c>
      <c r="N31" s="286"/>
      <c r="O31" s="268"/>
    </row>
    <row r="32" spans="1:15" ht="15.75">
      <c r="A32" s="236"/>
      <c r="B32" s="236">
        <v>31</v>
      </c>
      <c r="C32" s="295" t="s">
        <v>16</v>
      </c>
      <c r="D32" s="296"/>
      <c r="E32" s="296"/>
      <c r="F32" s="296"/>
      <c r="G32" s="296"/>
      <c r="H32" s="297"/>
      <c r="I32" s="285">
        <v>272724.21000000002</v>
      </c>
      <c r="J32" s="286"/>
      <c r="K32" s="285">
        <v>8200</v>
      </c>
      <c r="L32" s="286"/>
      <c r="M32" s="285">
        <f t="shared" ref="M32:M38" si="1">I32+K32</f>
        <v>280924.21000000002</v>
      </c>
      <c r="N32" s="286"/>
      <c r="O32" s="268"/>
    </row>
    <row r="33" spans="1:15" ht="15.75">
      <c r="A33" s="236"/>
      <c r="B33" s="236">
        <v>32</v>
      </c>
      <c r="C33" s="295" t="s">
        <v>17</v>
      </c>
      <c r="D33" s="296"/>
      <c r="E33" s="296"/>
      <c r="F33" s="296"/>
      <c r="G33" s="296"/>
      <c r="H33" s="297"/>
      <c r="I33" s="285">
        <v>570255.1</v>
      </c>
      <c r="J33" s="286"/>
      <c r="K33" s="285">
        <v>80395.600000000006</v>
      </c>
      <c r="L33" s="286"/>
      <c r="M33" s="285">
        <f t="shared" si="1"/>
        <v>650650.69999999995</v>
      </c>
      <c r="N33" s="286"/>
      <c r="O33" s="268"/>
    </row>
    <row r="34" spans="1:15" ht="15.75">
      <c r="A34" s="236"/>
      <c r="B34" s="236">
        <v>34</v>
      </c>
      <c r="C34" s="295" t="s">
        <v>18</v>
      </c>
      <c r="D34" s="296"/>
      <c r="E34" s="296"/>
      <c r="F34" s="296"/>
      <c r="G34" s="296"/>
      <c r="H34" s="297"/>
      <c r="I34" s="285">
        <v>7447.13</v>
      </c>
      <c r="J34" s="286"/>
      <c r="K34" s="285">
        <v>10257.33</v>
      </c>
      <c r="L34" s="286"/>
      <c r="M34" s="285">
        <f t="shared" si="1"/>
        <v>17704.46</v>
      </c>
      <c r="N34" s="286"/>
      <c r="O34" s="268"/>
    </row>
    <row r="35" spans="1:15" ht="15.75">
      <c r="A35" s="236"/>
      <c r="B35" s="236">
        <v>35</v>
      </c>
      <c r="C35" s="295" t="s">
        <v>165</v>
      </c>
      <c r="D35" s="296"/>
      <c r="E35" s="296"/>
      <c r="F35" s="296"/>
      <c r="G35" s="296"/>
      <c r="H35" s="297"/>
      <c r="I35" s="285">
        <v>23890.080000000002</v>
      </c>
      <c r="J35" s="286"/>
      <c r="K35" s="285">
        <v>34907.629999999997</v>
      </c>
      <c r="L35" s="286"/>
      <c r="M35" s="285">
        <f t="shared" si="1"/>
        <v>58797.71</v>
      </c>
      <c r="N35" s="286"/>
      <c r="O35" s="268"/>
    </row>
    <row r="36" spans="1:15" ht="15.75">
      <c r="A36" s="236"/>
      <c r="B36" s="236">
        <v>36</v>
      </c>
      <c r="C36" s="289" t="s">
        <v>124</v>
      </c>
      <c r="D36" s="290"/>
      <c r="E36" s="290"/>
      <c r="F36" s="290"/>
      <c r="G36" s="290"/>
      <c r="H36" s="291"/>
      <c r="I36" s="285">
        <v>568592.68000000005</v>
      </c>
      <c r="J36" s="286"/>
      <c r="K36" s="285">
        <v>-105000</v>
      </c>
      <c r="L36" s="286"/>
      <c r="M36" s="285">
        <f t="shared" si="1"/>
        <v>463592.68000000005</v>
      </c>
      <c r="N36" s="286"/>
      <c r="O36" s="268"/>
    </row>
    <row r="37" spans="1:15" ht="33.75" customHeight="1">
      <c r="A37" s="236"/>
      <c r="B37" s="236">
        <v>37</v>
      </c>
      <c r="C37" s="289" t="s">
        <v>261</v>
      </c>
      <c r="D37" s="290"/>
      <c r="E37" s="290"/>
      <c r="F37" s="290"/>
      <c r="G37" s="290"/>
      <c r="H37" s="291"/>
      <c r="I37" s="285">
        <v>150953.15</v>
      </c>
      <c r="J37" s="286"/>
      <c r="K37" s="285">
        <v>45227.97</v>
      </c>
      <c r="L37" s="286"/>
      <c r="M37" s="285">
        <f t="shared" si="1"/>
        <v>196181.12</v>
      </c>
      <c r="N37" s="286"/>
      <c r="O37" s="268"/>
    </row>
    <row r="38" spans="1:15" ht="39.75" customHeight="1">
      <c r="A38" s="236"/>
      <c r="B38" s="236">
        <v>38</v>
      </c>
      <c r="C38" s="289" t="s">
        <v>275</v>
      </c>
      <c r="D38" s="290"/>
      <c r="E38" s="290"/>
      <c r="F38" s="290"/>
      <c r="G38" s="290"/>
      <c r="H38" s="291"/>
      <c r="I38" s="285">
        <v>651921.63</v>
      </c>
      <c r="J38" s="286"/>
      <c r="K38" s="285">
        <v>-232100.47</v>
      </c>
      <c r="L38" s="286"/>
      <c r="M38" s="285">
        <f t="shared" si="1"/>
        <v>419821.16000000003</v>
      </c>
      <c r="N38" s="286"/>
      <c r="O38" s="268"/>
    </row>
    <row r="39" spans="1:15" ht="15.7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68"/>
    </row>
    <row r="40" spans="1:15" ht="49.5" customHeight="1">
      <c r="A40" s="235" t="s">
        <v>218</v>
      </c>
      <c r="B40" s="235" t="s">
        <v>219</v>
      </c>
      <c r="C40" s="298" t="s">
        <v>260</v>
      </c>
      <c r="D40" s="299"/>
      <c r="E40" s="299"/>
      <c r="F40" s="299"/>
      <c r="G40" s="299"/>
      <c r="H40" s="300"/>
      <c r="I40" s="287" t="s">
        <v>267</v>
      </c>
      <c r="J40" s="288"/>
      <c r="K40" s="287" t="s">
        <v>337</v>
      </c>
      <c r="L40" s="288"/>
      <c r="M40" s="287" t="s">
        <v>338</v>
      </c>
      <c r="N40" s="288"/>
      <c r="O40" s="268"/>
    </row>
    <row r="41" spans="1:15" ht="50.25" customHeight="1">
      <c r="A41" s="236">
        <v>4</v>
      </c>
      <c r="B41" s="236"/>
      <c r="C41" s="289" t="s">
        <v>11</v>
      </c>
      <c r="D41" s="290"/>
      <c r="E41" s="290"/>
      <c r="F41" s="290"/>
      <c r="G41" s="290"/>
      <c r="H41" s="291"/>
      <c r="I41" s="285">
        <f>I42+I43+I44</f>
        <v>5670042.2000000002</v>
      </c>
      <c r="J41" s="286"/>
      <c r="K41" s="285">
        <f>K42+K43+K44</f>
        <v>-2255029.5699999998</v>
      </c>
      <c r="L41" s="286"/>
      <c r="M41" s="285">
        <f>M42+M43+M44</f>
        <v>3415012.63</v>
      </c>
      <c r="N41" s="286"/>
      <c r="O41" s="268"/>
    </row>
    <row r="42" spans="1:15" ht="14.25" customHeight="1">
      <c r="A42" s="236"/>
      <c r="B42" s="236">
        <v>41</v>
      </c>
      <c r="C42" s="289" t="s">
        <v>262</v>
      </c>
      <c r="D42" s="290"/>
      <c r="E42" s="290"/>
      <c r="F42" s="290"/>
      <c r="G42" s="290"/>
      <c r="H42" s="291"/>
      <c r="I42" s="285">
        <v>15000</v>
      </c>
      <c r="J42" s="286"/>
      <c r="K42" s="285">
        <v>0</v>
      </c>
      <c r="L42" s="286"/>
      <c r="M42" s="285">
        <f>I42+K42</f>
        <v>15000</v>
      </c>
      <c r="N42" s="286"/>
      <c r="O42" s="268"/>
    </row>
    <row r="43" spans="1:15" ht="15.75">
      <c r="A43" s="236"/>
      <c r="B43" s="236">
        <v>42</v>
      </c>
      <c r="C43" s="289" t="s">
        <v>20</v>
      </c>
      <c r="D43" s="290"/>
      <c r="E43" s="290"/>
      <c r="F43" s="290"/>
      <c r="G43" s="290"/>
      <c r="H43" s="291"/>
      <c r="I43" s="285">
        <v>5644424.3799999999</v>
      </c>
      <c r="J43" s="286"/>
      <c r="K43" s="285">
        <v>-2255029.5699999998</v>
      </c>
      <c r="L43" s="286"/>
      <c r="M43" s="285">
        <f>I43+K43</f>
        <v>3389394.81</v>
      </c>
      <c r="N43" s="286"/>
      <c r="O43" s="268"/>
    </row>
    <row r="44" spans="1:15" ht="15.75">
      <c r="A44" s="236"/>
      <c r="B44" s="236">
        <v>45</v>
      </c>
      <c r="C44" s="289" t="s">
        <v>263</v>
      </c>
      <c r="D44" s="290"/>
      <c r="E44" s="290"/>
      <c r="F44" s="290"/>
      <c r="G44" s="290"/>
      <c r="H44" s="291"/>
      <c r="I44" s="285">
        <v>10617.82</v>
      </c>
      <c r="J44" s="286"/>
      <c r="K44" s="285">
        <v>0</v>
      </c>
      <c r="L44" s="286"/>
      <c r="M44" s="285">
        <f>I44+K44</f>
        <v>10617.82</v>
      </c>
      <c r="N44" s="286"/>
      <c r="O44" s="268"/>
    </row>
  </sheetData>
  <mergeCells count="100">
    <mergeCell ref="C41:H41"/>
    <mergeCell ref="C42:H42"/>
    <mergeCell ref="M43:N43"/>
    <mergeCell ref="I44:J44"/>
    <mergeCell ref="K44:L44"/>
    <mergeCell ref="M44:N44"/>
    <mergeCell ref="I43:J43"/>
    <mergeCell ref="K43:L43"/>
    <mergeCell ref="C43:H43"/>
    <mergeCell ref="C44:H44"/>
    <mergeCell ref="M41:N41"/>
    <mergeCell ref="I42:J42"/>
    <mergeCell ref="K42:L42"/>
    <mergeCell ref="M42:N42"/>
    <mergeCell ref="I41:J41"/>
    <mergeCell ref="K41:L41"/>
    <mergeCell ref="C36:H36"/>
    <mergeCell ref="C37:H37"/>
    <mergeCell ref="M38:N38"/>
    <mergeCell ref="I40:J40"/>
    <mergeCell ref="K40:L40"/>
    <mergeCell ref="M40:N40"/>
    <mergeCell ref="I38:J38"/>
    <mergeCell ref="K38:L38"/>
    <mergeCell ref="C38:H38"/>
    <mergeCell ref="C40:H40"/>
    <mergeCell ref="M36:N36"/>
    <mergeCell ref="I37:J37"/>
    <mergeCell ref="K37:L37"/>
    <mergeCell ref="M37:N37"/>
    <mergeCell ref="I36:J36"/>
    <mergeCell ref="K36:L36"/>
    <mergeCell ref="C32:H32"/>
    <mergeCell ref="C33:H33"/>
    <mergeCell ref="M34:N34"/>
    <mergeCell ref="I35:J35"/>
    <mergeCell ref="K35:L35"/>
    <mergeCell ref="M35:N35"/>
    <mergeCell ref="I34:J34"/>
    <mergeCell ref="K34:L34"/>
    <mergeCell ref="C34:H34"/>
    <mergeCell ref="C35:H35"/>
    <mergeCell ref="M32:N32"/>
    <mergeCell ref="I33:J33"/>
    <mergeCell ref="K33:L33"/>
    <mergeCell ref="M33:N33"/>
    <mergeCell ref="I32:J32"/>
    <mergeCell ref="K32:L32"/>
    <mergeCell ref="C30:H30"/>
    <mergeCell ref="I30:J30"/>
    <mergeCell ref="K30:L30"/>
    <mergeCell ref="M30:N30"/>
    <mergeCell ref="I31:J31"/>
    <mergeCell ref="K31:L31"/>
    <mergeCell ref="M31:N31"/>
    <mergeCell ref="C31:H31"/>
    <mergeCell ref="C20:H20"/>
    <mergeCell ref="C21:H21"/>
    <mergeCell ref="A6:D6"/>
    <mergeCell ref="A9:D9"/>
    <mergeCell ref="A27:D27"/>
    <mergeCell ref="C16:H16"/>
    <mergeCell ref="C17:H17"/>
    <mergeCell ref="C18:H18"/>
    <mergeCell ref="C19:H19"/>
    <mergeCell ref="C12:H12"/>
    <mergeCell ref="C13:H13"/>
    <mergeCell ref="C14:H14"/>
    <mergeCell ref="C15:H15"/>
    <mergeCell ref="I21:J21"/>
    <mergeCell ref="K21:L21"/>
    <mergeCell ref="M21:N21"/>
    <mergeCell ref="I20:J20"/>
    <mergeCell ref="K20:L20"/>
    <mergeCell ref="M20:N20"/>
    <mergeCell ref="I19:J19"/>
    <mergeCell ref="K19:L19"/>
    <mergeCell ref="M19:N19"/>
    <mergeCell ref="I18:J18"/>
    <mergeCell ref="K18:L18"/>
    <mergeCell ref="M18:N18"/>
    <mergeCell ref="M17:N17"/>
    <mergeCell ref="I16:J16"/>
    <mergeCell ref="K16:L16"/>
    <mergeCell ref="M16:N16"/>
    <mergeCell ref="I17:J17"/>
    <mergeCell ref="K17:L17"/>
    <mergeCell ref="M15:N15"/>
    <mergeCell ref="I14:J14"/>
    <mergeCell ref="K14:L14"/>
    <mergeCell ref="M14:N14"/>
    <mergeCell ref="I15:J15"/>
    <mergeCell ref="K15:L15"/>
    <mergeCell ref="A2:O3"/>
    <mergeCell ref="M13:N13"/>
    <mergeCell ref="I12:J12"/>
    <mergeCell ref="K12:L12"/>
    <mergeCell ref="M12:N12"/>
    <mergeCell ref="I13:J13"/>
    <mergeCell ref="K13:L13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E11" sqref="E11"/>
    </sheetView>
  </sheetViews>
  <sheetFormatPr defaultRowHeight="14.25"/>
  <cols>
    <col min="2" max="2" width="27.125" customWidth="1"/>
    <col min="3" max="4" width="12.625" customWidth="1"/>
    <col min="5" max="5" width="14.25" customWidth="1"/>
    <col min="6" max="6" width="13.125" customWidth="1"/>
    <col min="7" max="7" width="13.25" customWidth="1"/>
  </cols>
  <sheetData>
    <row r="1" spans="1:10" ht="15.75">
      <c r="A1" s="44" t="s">
        <v>343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3" customHeight="1">
      <c r="A3" s="244"/>
      <c r="B3" s="244"/>
      <c r="C3" s="245"/>
      <c r="D3" s="245"/>
      <c r="E3" s="245"/>
      <c r="F3" s="245"/>
      <c r="G3" s="245"/>
    </row>
    <row r="4" spans="1:10" ht="45" customHeight="1">
      <c r="A4" s="310" t="s">
        <v>265</v>
      </c>
      <c r="B4" s="311"/>
      <c r="C4" s="311"/>
      <c r="D4" s="312"/>
      <c r="E4" s="249" t="s">
        <v>267</v>
      </c>
      <c r="F4" s="249" t="s">
        <v>337</v>
      </c>
      <c r="G4" s="249" t="s">
        <v>338</v>
      </c>
    </row>
    <row r="5" spans="1:10" ht="15.75">
      <c r="A5" s="319" t="s">
        <v>264</v>
      </c>
      <c r="B5" s="320"/>
      <c r="C5" s="320"/>
      <c r="D5" s="321"/>
      <c r="E5" s="250">
        <f>E7+E9+E11+E13</f>
        <v>6604803.3000000007</v>
      </c>
      <c r="F5" s="250">
        <f>F7+F9+F11+F13</f>
        <v>-2579536.3200000003</v>
      </c>
      <c r="G5" s="250">
        <f>E5+F5</f>
        <v>4025266.9800000004</v>
      </c>
    </row>
    <row r="6" spans="1:10" ht="15.75">
      <c r="A6" s="304" t="s">
        <v>322</v>
      </c>
      <c r="B6" s="305"/>
      <c r="C6" s="305"/>
      <c r="D6" s="306"/>
      <c r="E6" s="250">
        <f>E7</f>
        <v>1705542.27</v>
      </c>
      <c r="F6" s="250">
        <f>F7</f>
        <v>120667.55</v>
      </c>
      <c r="G6" s="250">
        <f>E6+F6</f>
        <v>1826209.82</v>
      </c>
    </row>
    <row r="7" spans="1:10" ht="15.75">
      <c r="A7" s="307" t="s">
        <v>268</v>
      </c>
      <c r="B7" s="308"/>
      <c r="C7" s="308"/>
      <c r="D7" s="309"/>
      <c r="E7" s="251">
        <v>1705542.27</v>
      </c>
      <c r="F7" s="251">
        <v>120667.55</v>
      </c>
      <c r="G7" s="251">
        <v>1826209.82</v>
      </c>
    </row>
    <row r="8" spans="1:10" ht="15.75">
      <c r="A8" s="304" t="s">
        <v>323</v>
      </c>
      <c r="B8" s="305"/>
      <c r="C8" s="305"/>
      <c r="D8" s="306"/>
      <c r="E8" s="250">
        <f>E9</f>
        <v>2177412.9500000002</v>
      </c>
      <c r="F8" s="250">
        <f>F9</f>
        <v>-1396044.78</v>
      </c>
      <c r="G8" s="250">
        <f>G9</f>
        <v>781368.17000000016</v>
      </c>
    </row>
    <row r="9" spans="1:10" ht="15.75">
      <c r="A9" s="307" t="s">
        <v>269</v>
      </c>
      <c r="B9" s="308"/>
      <c r="C9" s="308"/>
      <c r="D9" s="309"/>
      <c r="E9" s="251">
        <v>2177412.9500000002</v>
      </c>
      <c r="F9" s="251">
        <v>-1396044.78</v>
      </c>
      <c r="G9" s="251">
        <f>E9+F9</f>
        <v>781368.17000000016</v>
      </c>
    </row>
    <row r="10" spans="1:10" ht="15.75">
      <c r="A10" s="304" t="s">
        <v>324</v>
      </c>
      <c r="B10" s="305"/>
      <c r="C10" s="305"/>
      <c r="D10" s="306"/>
      <c r="E10" s="250">
        <f>E11</f>
        <v>2529690.64</v>
      </c>
      <c r="F10" s="250">
        <f>F11</f>
        <v>-1348551.35</v>
      </c>
      <c r="G10" s="250">
        <f>G11</f>
        <v>1181139.29</v>
      </c>
    </row>
    <row r="11" spans="1:10" ht="15.75">
      <c r="A11" s="322" t="s">
        <v>270</v>
      </c>
      <c r="B11" s="323"/>
      <c r="C11" s="323"/>
      <c r="D11" s="324"/>
      <c r="E11" s="251">
        <v>2529690.64</v>
      </c>
      <c r="F11" s="251">
        <v>-1348551.35</v>
      </c>
      <c r="G11" s="251">
        <f>E11+F11</f>
        <v>1181139.29</v>
      </c>
    </row>
    <row r="12" spans="1:10" ht="18" customHeight="1">
      <c r="A12" s="310" t="s">
        <v>339</v>
      </c>
      <c r="B12" s="311"/>
      <c r="C12" s="311"/>
      <c r="D12" s="312"/>
      <c r="E12" s="250">
        <f>E13</f>
        <v>192157.44</v>
      </c>
      <c r="F12" s="250">
        <f>F13</f>
        <v>44392.26</v>
      </c>
      <c r="G12" s="250">
        <f>E12+F12</f>
        <v>236549.7</v>
      </c>
    </row>
    <row r="13" spans="1:10" ht="20.25" customHeight="1">
      <c r="A13" s="313" t="s">
        <v>340</v>
      </c>
      <c r="B13" s="314"/>
      <c r="C13" s="314"/>
      <c r="D13" s="315"/>
      <c r="E13" s="251">
        <v>192157.44</v>
      </c>
      <c r="F13" s="251">
        <v>44392.26</v>
      </c>
      <c r="G13" s="251">
        <f>E13+F13</f>
        <v>236549.7</v>
      </c>
    </row>
    <row r="14" spans="1:10" ht="15.75">
      <c r="C14" s="246"/>
      <c r="D14" s="246"/>
      <c r="E14" s="246"/>
      <c r="F14" s="246"/>
      <c r="G14" s="246"/>
    </row>
    <row r="16" spans="1:10" s="44" customFormat="1" ht="47.25" customHeight="1">
      <c r="A16" s="310" t="s">
        <v>265</v>
      </c>
      <c r="B16" s="311"/>
      <c r="C16" s="311"/>
      <c r="D16" s="312"/>
      <c r="E16" s="249" t="s">
        <v>267</v>
      </c>
      <c r="F16" s="249" t="s">
        <v>337</v>
      </c>
      <c r="G16" s="249" t="s">
        <v>338</v>
      </c>
    </row>
    <row r="17" spans="1:7" s="247" customFormat="1" ht="17.25" customHeight="1">
      <c r="A17" s="319" t="s">
        <v>325</v>
      </c>
      <c r="B17" s="320"/>
      <c r="C17" s="320"/>
      <c r="D17" s="321"/>
      <c r="E17" s="250">
        <f>E19+E21+E23+E25+E27</f>
        <v>7915826.1800000006</v>
      </c>
      <c r="F17" s="250">
        <f>F19+F21+F23+F25+F27</f>
        <v>-2413141.5100000007</v>
      </c>
      <c r="G17" s="250">
        <f>E17+F17</f>
        <v>5502684.6699999999</v>
      </c>
    </row>
    <row r="18" spans="1:7" s="247" customFormat="1" ht="14.25" customHeight="1">
      <c r="A18" s="304" t="s">
        <v>322</v>
      </c>
      <c r="B18" s="305"/>
      <c r="C18" s="305"/>
      <c r="D18" s="306"/>
      <c r="E18" s="250">
        <f>E19</f>
        <v>2388318.81</v>
      </c>
      <c r="F18" s="250">
        <f>F19</f>
        <v>192392.77</v>
      </c>
      <c r="G18" s="250">
        <f>G19</f>
        <v>2580711.58</v>
      </c>
    </row>
    <row r="19" spans="1:7" s="247" customFormat="1" ht="14.25" customHeight="1">
      <c r="A19" s="307" t="s">
        <v>268</v>
      </c>
      <c r="B19" s="308"/>
      <c r="C19" s="308"/>
      <c r="D19" s="309"/>
      <c r="E19" s="251">
        <v>2388318.81</v>
      </c>
      <c r="F19" s="251">
        <v>192392.77</v>
      </c>
      <c r="G19" s="251">
        <f>E19+F19</f>
        <v>2580711.58</v>
      </c>
    </row>
    <row r="20" spans="1:7" s="247" customFormat="1" ht="14.25" customHeight="1">
      <c r="A20" s="304" t="s">
        <v>323</v>
      </c>
      <c r="B20" s="305"/>
      <c r="C20" s="305"/>
      <c r="D20" s="306"/>
      <c r="E20" s="250">
        <f>E21</f>
        <v>2177412.9500000002</v>
      </c>
      <c r="F20" s="250">
        <f>F21</f>
        <v>-1396044.78</v>
      </c>
      <c r="G20" s="250">
        <f>G21</f>
        <v>781368.17000000016</v>
      </c>
    </row>
    <row r="21" spans="1:7" s="247" customFormat="1" ht="13.5" customHeight="1">
      <c r="A21" s="307" t="s">
        <v>269</v>
      </c>
      <c r="B21" s="308"/>
      <c r="C21" s="308"/>
      <c r="D21" s="309"/>
      <c r="E21" s="251">
        <v>2177412.9500000002</v>
      </c>
      <c r="F21" s="251">
        <v>-1396044.78</v>
      </c>
      <c r="G21" s="251">
        <f>E21+F21</f>
        <v>781368.17000000016</v>
      </c>
    </row>
    <row r="22" spans="1:7" s="247" customFormat="1" ht="17.25" customHeight="1">
      <c r="A22" s="304" t="s">
        <v>324</v>
      </c>
      <c r="B22" s="305"/>
      <c r="C22" s="305"/>
      <c r="D22" s="306"/>
      <c r="E22" s="250">
        <f>E23</f>
        <v>2529690.64</v>
      </c>
      <c r="F22" s="250">
        <f>F23</f>
        <v>-1348551.35</v>
      </c>
      <c r="G22" s="250">
        <f>G23</f>
        <v>1181139.29</v>
      </c>
    </row>
    <row r="23" spans="1:7" s="247" customFormat="1" ht="15.75">
      <c r="A23" s="307" t="s">
        <v>270</v>
      </c>
      <c r="B23" s="308"/>
      <c r="C23" s="308"/>
      <c r="D23" s="309"/>
      <c r="E23" s="251">
        <v>2529690.64</v>
      </c>
      <c r="F23" s="251">
        <v>-1348551.35</v>
      </c>
      <c r="G23" s="251">
        <f>E23+F23</f>
        <v>1181139.29</v>
      </c>
    </row>
    <row r="24" spans="1:7" s="247" customFormat="1" ht="16.5" customHeight="1">
      <c r="A24" s="310" t="s">
        <v>339</v>
      </c>
      <c r="B24" s="311"/>
      <c r="C24" s="311"/>
      <c r="D24" s="312"/>
      <c r="E24" s="250">
        <f>E25</f>
        <v>192157.44</v>
      </c>
      <c r="F24" s="250">
        <f>F25</f>
        <v>44392.26</v>
      </c>
      <c r="G24" s="250">
        <f>E24+F24</f>
        <v>236549.7</v>
      </c>
    </row>
    <row r="25" spans="1:7" s="44" customFormat="1" ht="18.75" customHeight="1">
      <c r="A25" s="313" t="s">
        <v>340</v>
      </c>
      <c r="B25" s="314"/>
      <c r="C25" s="314"/>
      <c r="D25" s="315"/>
      <c r="E25" s="251">
        <v>192157.44</v>
      </c>
      <c r="F25" s="251">
        <v>44392.26</v>
      </c>
      <c r="G25" s="251">
        <f>E25+F25</f>
        <v>236549.7</v>
      </c>
    </row>
    <row r="26" spans="1:7" ht="18" customHeight="1">
      <c r="A26" s="316" t="s">
        <v>327</v>
      </c>
      <c r="B26" s="317"/>
      <c r="C26" s="317"/>
      <c r="D26" s="318"/>
      <c r="E26" s="261">
        <f>E27</f>
        <v>628246.34</v>
      </c>
      <c r="F26" s="261">
        <f>F27</f>
        <v>94669.59</v>
      </c>
      <c r="G26" s="261">
        <f>G27</f>
        <v>722915.92999999993</v>
      </c>
    </row>
    <row r="27" spans="1:7">
      <c r="A27" s="301" t="s">
        <v>326</v>
      </c>
      <c r="B27" s="302"/>
      <c r="C27" s="302"/>
      <c r="D27" s="303"/>
      <c r="E27" s="260">
        <v>628246.34</v>
      </c>
      <c r="F27" s="260">
        <v>94669.59</v>
      </c>
      <c r="G27" s="260">
        <f>E27+F27</f>
        <v>722915.92999999993</v>
      </c>
    </row>
    <row r="29" spans="1:7">
      <c r="D29" s="248"/>
    </row>
  </sheetData>
  <mergeCells count="22">
    <mergeCell ref="A17:D17"/>
    <mergeCell ref="A18:D18"/>
    <mergeCell ref="A19:D19"/>
    <mergeCell ref="A20:D20"/>
    <mergeCell ref="A21:D21"/>
    <mergeCell ref="A12:D12"/>
    <mergeCell ref="A13:D13"/>
    <mergeCell ref="A16:D16"/>
    <mergeCell ref="A4:D4"/>
    <mergeCell ref="A5:D5"/>
    <mergeCell ref="A6:D6"/>
    <mergeCell ref="A7:D7"/>
    <mergeCell ref="A8:D8"/>
    <mergeCell ref="A9:D9"/>
    <mergeCell ref="A10:D10"/>
    <mergeCell ref="A11:D11"/>
    <mergeCell ref="A27:D27"/>
    <mergeCell ref="A22:D22"/>
    <mergeCell ref="A23:D23"/>
    <mergeCell ref="A24:D24"/>
    <mergeCell ref="A25:D25"/>
    <mergeCell ref="A26:D26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opLeftCell="A58" workbookViewId="0">
      <selection activeCell="J72" sqref="J72:K72"/>
    </sheetView>
  </sheetViews>
  <sheetFormatPr defaultRowHeight="14.25"/>
  <cols>
    <col min="5" max="5" width="9" customWidth="1"/>
    <col min="6" max="6" width="7.125" customWidth="1"/>
    <col min="7" max="7" width="6.125" customWidth="1"/>
    <col min="9" max="9" width="6.375" customWidth="1"/>
    <col min="11" max="11" width="3.875" customWidth="1"/>
    <col min="13" max="13" width="3.875" customWidth="1"/>
    <col min="15" max="15" width="4" customWidth="1"/>
  </cols>
  <sheetData>
    <row r="1" spans="1:15" ht="15.75">
      <c r="A1" s="358"/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ht="15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75">
      <c r="A3" s="44" t="s">
        <v>346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5.7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7.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55.5" customHeight="1">
      <c r="A6" s="287" t="s">
        <v>191</v>
      </c>
      <c r="B6" s="359"/>
      <c r="C6" s="359"/>
      <c r="D6" s="359"/>
      <c r="E6" s="359"/>
      <c r="F6" s="359"/>
      <c r="G6" s="359"/>
      <c r="H6" s="359"/>
      <c r="I6" s="288"/>
      <c r="J6" s="354" t="s">
        <v>267</v>
      </c>
      <c r="K6" s="355"/>
      <c r="L6" s="354" t="s">
        <v>337</v>
      </c>
      <c r="M6" s="355"/>
      <c r="N6" s="354" t="s">
        <v>338</v>
      </c>
      <c r="O6" s="355"/>
    </row>
    <row r="7" spans="1:15" ht="15.75">
      <c r="A7" s="328" t="s">
        <v>192</v>
      </c>
      <c r="B7" s="329"/>
      <c r="C7" s="329"/>
      <c r="D7" s="329"/>
      <c r="E7" s="329"/>
      <c r="F7" s="329"/>
      <c r="G7" s="329"/>
      <c r="H7" s="329"/>
      <c r="I7" s="330"/>
      <c r="J7" s="356">
        <f>J8+J12+J14+J16+J22+J25+J30+J32+J37+J40</f>
        <v>7915826.1799999988</v>
      </c>
      <c r="K7" s="357"/>
      <c r="L7" s="356">
        <f>L8+L12+L14+L16+L22+L25+L30+L32+L37+L40</f>
        <v>-2413141.5099999993</v>
      </c>
      <c r="M7" s="357"/>
      <c r="N7" s="356">
        <f t="shared" ref="N7:N21" si="0">J7+L7</f>
        <v>5502684.6699999999</v>
      </c>
      <c r="O7" s="357"/>
    </row>
    <row r="8" spans="1:15" ht="15.75">
      <c r="A8" s="328" t="s">
        <v>193</v>
      </c>
      <c r="B8" s="329"/>
      <c r="C8" s="329"/>
      <c r="D8" s="329"/>
      <c r="E8" s="329"/>
      <c r="F8" s="329"/>
      <c r="G8" s="329"/>
      <c r="H8" s="329"/>
      <c r="I8" s="330"/>
      <c r="J8" s="356">
        <f>J9+J10</f>
        <v>1157566.96</v>
      </c>
      <c r="K8" s="357"/>
      <c r="L8" s="356">
        <f>L9+L10</f>
        <v>-288933.81</v>
      </c>
      <c r="M8" s="357"/>
      <c r="N8" s="356">
        <f t="shared" si="0"/>
        <v>868633.14999999991</v>
      </c>
      <c r="O8" s="357"/>
    </row>
    <row r="9" spans="1:15" ht="15.75">
      <c r="A9" s="289" t="s">
        <v>194</v>
      </c>
      <c r="B9" s="290"/>
      <c r="C9" s="290"/>
      <c r="D9" s="290"/>
      <c r="E9" s="290"/>
      <c r="F9" s="290"/>
      <c r="G9" s="290"/>
      <c r="H9" s="290"/>
      <c r="I9" s="291"/>
      <c r="J9" s="350">
        <v>909882.6</v>
      </c>
      <c r="K9" s="351"/>
      <c r="L9" s="350">
        <v>-309689.34999999998</v>
      </c>
      <c r="M9" s="351"/>
      <c r="N9" s="350">
        <f>J9+L9</f>
        <v>600193.25</v>
      </c>
      <c r="O9" s="351"/>
    </row>
    <row r="10" spans="1:15" ht="15.75">
      <c r="A10" s="295" t="s">
        <v>195</v>
      </c>
      <c r="B10" s="296"/>
      <c r="C10" s="296"/>
      <c r="D10" s="296"/>
      <c r="E10" s="296"/>
      <c r="F10" s="296"/>
      <c r="G10" s="296"/>
      <c r="H10" s="296"/>
      <c r="I10" s="297"/>
      <c r="J10" s="350">
        <v>247684.36</v>
      </c>
      <c r="K10" s="351"/>
      <c r="L10" s="350">
        <v>20755.54</v>
      </c>
      <c r="M10" s="351"/>
      <c r="N10" s="350">
        <f t="shared" si="0"/>
        <v>268439.89999999997</v>
      </c>
      <c r="O10" s="351"/>
    </row>
    <row r="11" spans="1:15" ht="15.75">
      <c r="A11" s="331" t="s">
        <v>233</v>
      </c>
      <c r="B11" s="332"/>
      <c r="C11" s="332"/>
      <c r="D11" s="332"/>
      <c r="E11" s="332"/>
      <c r="F11" s="332"/>
      <c r="G11" s="332"/>
      <c r="H11" s="332"/>
      <c r="I11" s="333"/>
      <c r="J11" s="352">
        <v>0</v>
      </c>
      <c r="K11" s="353"/>
      <c r="L11" s="352">
        <v>0</v>
      </c>
      <c r="M11" s="353"/>
      <c r="N11" s="352">
        <f t="shared" si="0"/>
        <v>0</v>
      </c>
      <c r="O11" s="353"/>
    </row>
    <row r="12" spans="1:15" ht="15.75">
      <c r="A12" s="328" t="s">
        <v>196</v>
      </c>
      <c r="B12" s="329"/>
      <c r="C12" s="329"/>
      <c r="D12" s="329"/>
      <c r="E12" s="329"/>
      <c r="F12" s="329"/>
      <c r="G12" s="329"/>
      <c r="H12" s="329"/>
      <c r="I12" s="330"/>
      <c r="J12" s="356">
        <f>J13</f>
        <v>6525</v>
      </c>
      <c r="K12" s="357"/>
      <c r="L12" s="356">
        <f>L13</f>
        <v>0</v>
      </c>
      <c r="M12" s="357"/>
      <c r="N12" s="356">
        <f t="shared" si="0"/>
        <v>6525</v>
      </c>
      <c r="O12" s="357"/>
    </row>
    <row r="13" spans="1:15" ht="15.75">
      <c r="A13" s="295" t="s">
        <v>197</v>
      </c>
      <c r="B13" s="296"/>
      <c r="C13" s="296"/>
      <c r="D13" s="296"/>
      <c r="E13" s="296"/>
      <c r="F13" s="296"/>
      <c r="G13" s="296"/>
      <c r="H13" s="296"/>
      <c r="I13" s="297"/>
      <c r="J13" s="350">
        <v>6525</v>
      </c>
      <c r="K13" s="351"/>
      <c r="L13" s="350">
        <v>0</v>
      </c>
      <c r="M13" s="351"/>
      <c r="N13" s="350">
        <f t="shared" si="0"/>
        <v>6525</v>
      </c>
      <c r="O13" s="351"/>
    </row>
    <row r="14" spans="1:15" ht="15.75">
      <c r="A14" s="328" t="s">
        <v>198</v>
      </c>
      <c r="B14" s="329"/>
      <c r="C14" s="329"/>
      <c r="D14" s="329"/>
      <c r="E14" s="329"/>
      <c r="F14" s="329"/>
      <c r="G14" s="329"/>
      <c r="H14" s="329"/>
      <c r="I14" s="330"/>
      <c r="J14" s="356">
        <f>J15</f>
        <v>90000</v>
      </c>
      <c r="K14" s="357"/>
      <c r="L14" s="356">
        <f>L15</f>
        <v>0</v>
      </c>
      <c r="M14" s="357"/>
      <c r="N14" s="356">
        <f t="shared" si="0"/>
        <v>90000</v>
      </c>
      <c r="O14" s="357"/>
    </row>
    <row r="15" spans="1:15" ht="15.75">
      <c r="A15" s="295" t="s">
        <v>199</v>
      </c>
      <c r="B15" s="296"/>
      <c r="C15" s="296"/>
      <c r="D15" s="296"/>
      <c r="E15" s="296"/>
      <c r="F15" s="296"/>
      <c r="G15" s="296"/>
      <c r="H15" s="296"/>
      <c r="I15" s="297"/>
      <c r="J15" s="350">
        <v>90000</v>
      </c>
      <c r="K15" s="351"/>
      <c r="L15" s="350">
        <v>0</v>
      </c>
      <c r="M15" s="351"/>
      <c r="N15" s="350">
        <f t="shared" si="0"/>
        <v>90000</v>
      </c>
      <c r="O15" s="351"/>
    </row>
    <row r="16" spans="1:15" ht="15.75">
      <c r="A16" s="339" t="s">
        <v>224</v>
      </c>
      <c r="B16" s="340"/>
      <c r="C16" s="340"/>
      <c r="D16" s="340"/>
      <c r="E16" s="340"/>
      <c r="F16" s="340"/>
      <c r="G16" s="340"/>
      <c r="H16" s="340"/>
      <c r="I16" s="341"/>
      <c r="J16" s="360">
        <f>SUM(J17:K21)</f>
        <v>1581384.5999999999</v>
      </c>
      <c r="K16" s="361"/>
      <c r="L16" s="360">
        <f>SUM(L19:M21)</f>
        <v>-62804.460000000006</v>
      </c>
      <c r="M16" s="361"/>
      <c r="N16" s="360">
        <f t="shared" si="0"/>
        <v>1518580.14</v>
      </c>
      <c r="O16" s="361"/>
    </row>
    <row r="17" spans="1:15" ht="15.75">
      <c r="A17" s="342" t="s">
        <v>234</v>
      </c>
      <c r="B17" s="343"/>
      <c r="C17" s="343"/>
      <c r="D17" s="343"/>
      <c r="E17" s="343"/>
      <c r="F17" s="343"/>
      <c r="G17" s="343"/>
      <c r="H17" s="343"/>
      <c r="I17" s="344"/>
      <c r="J17" s="352">
        <v>0</v>
      </c>
      <c r="K17" s="353"/>
      <c r="L17" s="352">
        <v>0</v>
      </c>
      <c r="M17" s="353"/>
      <c r="N17" s="352">
        <f t="shared" si="0"/>
        <v>0</v>
      </c>
      <c r="O17" s="353"/>
    </row>
    <row r="18" spans="1:15" ht="15.75">
      <c r="A18" s="345" t="s">
        <v>235</v>
      </c>
      <c r="B18" s="345"/>
      <c r="C18" s="345"/>
      <c r="D18" s="345"/>
      <c r="E18" s="345"/>
      <c r="F18" s="345"/>
      <c r="G18" s="345"/>
      <c r="H18" s="345"/>
      <c r="I18" s="346"/>
      <c r="J18" s="352">
        <v>0</v>
      </c>
      <c r="K18" s="353"/>
      <c r="L18" s="352">
        <v>0</v>
      </c>
      <c r="M18" s="353"/>
      <c r="N18" s="352">
        <f t="shared" si="0"/>
        <v>0</v>
      </c>
      <c r="O18" s="353"/>
    </row>
    <row r="19" spans="1:15" ht="15.75">
      <c r="A19" s="342" t="s">
        <v>225</v>
      </c>
      <c r="B19" s="343"/>
      <c r="C19" s="343"/>
      <c r="D19" s="343"/>
      <c r="E19" s="343"/>
      <c r="F19" s="343"/>
      <c r="G19" s="343"/>
      <c r="H19" s="343"/>
      <c r="I19" s="344"/>
      <c r="J19" s="352">
        <v>26544.560000000001</v>
      </c>
      <c r="K19" s="353"/>
      <c r="L19" s="352">
        <v>-4926.7299999999996</v>
      </c>
      <c r="M19" s="353"/>
      <c r="N19" s="352">
        <f t="shared" si="0"/>
        <v>21617.83</v>
      </c>
      <c r="O19" s="353"/>
    </row>
    <row r="20" spans="1:15" ht="15.75">
      <c r="A20" s="342" t="s">
        <v>226</v>
      </c>
      <c r="B20" s="343"/>
      <c r="C20" s="343"/>
      <c r="D20" s="343"/>
      <c r="E20" s="343"/>
      <c r="F20" s="343"/>
      <c r="G20" s="343"/>
      <c r="H20" s="343"/>
      <c r="I20" s="344"/>
      <c r="J20" s="352">
        <v>7508.91</v>
      </c>
      <c r="K20" s="353"/>
      <c r="L20" s="352">
        <v>4265</v>
      </c>
      <c r="M20" s="353"/>
      <c r="N20" s="352">
        <f t="shared" si="0"/>
        <v>11773.91</v>
      </c>
      <c r="O20" s="353"/>
    </row>
    <row r="21" spans="1:15" ht="15.75">
      <c r="A21" s="342" t="s">
        <v>231</v>
      </c>
      <c r="B21" s="343"/>
      <c r="C21" s="343"/>
      <c r="D21" s="343"/>
      <c r="E21" s="343"/>
      <c r="F21" s="343"/>
      <c r="G21" s="343"/>
      <c r="H21" s="343"/>
      <c r="I21" s="344"/>
      <c r="J21" s="352">
        <v>1547331.13</v>
      </c>
      <c r="K21" s="353"/>
      <c r="L21" s="352">
        <v>-62142.73</v>
      </c>
      <c r="M21" s="353"/>
      <c r="N21" s="352">
        <f t="shared" si="0"/>
        <v>1485188.4</v>
      </c>
      <c r="O21" s="353"/>
    </row>
    <row r="22" spans="1:15" ht="15.75">
      <c r="A22" s="328" t="s">
        <v>200</v>
      </c>
      <c r="B22" s="329"/>
      <c r="C22" s="329"/>
      <c r="D22" s="329"/>
      <c r="E22" s="329"/>
      <c r="F22" s="329"/>
      <c r="G22" s="329"/>
      <c r="H22" s="329"/>
      <c r="I22" s="330"/>
      <c r="J22" s="356">
        <f>J23+J24</f>
        <v>0</v>
      </c>
      <c r="K22" s="357"/>
      <c r="L22" s="356">
        <f>L23+L24</f>
        <v>0</v>
      </c>
      <c r="M22" s="357"/>
      <c r="N22" s="356">
        <f>N23+N24</f>
        <v>0</v>
      </c>
      <c r="O22" s="357"/>
    </row>
    <row r="23" spans="1:15" ht="15.75">
      <c r="A23" s="295" t="s">
        <v>201</v>
      </c>
      <c r="B23" s="296"/>
      <c r="C23" s="296"/>
      <c r="D23" s="296"/>
      <c r="E23" s="296"/>
      <c r="F23" s="296"/>
      <c r="G23" s="296"/>
      <c r="H23" s="296"/>
      <c r="I23" s="297"/>
      <c r="J23" s="350">
        <f>J372</f>
        <v>0</v>
      </c>
      <c r="K23" s="351"/>
      <c r="L23" s="350">
        <f>L372</f>
        <v>0</v>
      </c>
      <c r="M23" s="351"/>
      <c r="N23" s="350">
        <f>N372</f>
        <v>0</v>
      </c>
      <c r="O23" s="351"/>
    </row>
    <row r="24" spans="1:15" ht="15.75">
      <c r="A24" s="289" t="s">
        <v>202</v>
      </c>
      <c r="B24" s="290"/>
      <c r="C24" s="290"/>
      <c r="D24" s="290"/>
      <c r="E24" s="290"/>
      <c r="F24" s="290"/>
      <c r="G24" s="290"/>
      <c r="H24" s="290"/>
      <c r="I24" s="291"/>
      <c r="J24" s="350">
        <v>0</v>
      </c>
      <c r="K24" s="351"/>
      <c r="L24" s="350">
        <v>0</v>
      </c>
      <c r="M24" s="351"/>
      <c r="N24" s="350">
        <v>0</v>
      </c>
      <c r="O24" s="351"/>
    </row>
    <row r="25" spans="1:15" ht="15.75">
      <c r="A25" s="328" t="s">
        <v>203</v>
      </c>
      <c r="B25" s="329"/>
      <c r="C25" s="329"/>
      <c r="D25" s="329"/>
      <c r="E25" s="329"/>
      <c r="F25" s="329"/>
      <c r="G25" s="329"/>
      <c r="H25" s="329"/>
      <c r="I25" s="330"/>
      <c r="J25" s="356">
        <f>J26+J28++J29+J27</f>
        <v>3550899.33</v>
      </c>
      <c r="K25" s="357"/>
      <c r="L25" s="356">
        <f>L26+L28++L29+L27</f>
        <v>-1473134.0699999998</v>
      </c>
      <c r="M25" s="357"/>
      <c r="N25" s="356">
        <f>J25+L25</f>
        <v>2077765.2600000002</v>
      </c>
      <c r="O25" s="357"/>
    </row>
    <row r="26" spans="1:15" ht="15.75">
      <c r="A26" s="295" t="s">
        <v>204</v>
      </c>
      <c r="B26" s="296"/>
      <c r="C26" s="296"/>
      <c r="D26" s="296"/>
      <c r="E26" s="296"/>
      <c r="F26" s="296"/>
      <c r="G26" s="296"/>
      <c r="H26" s="296"/>
      <c r="I26" s="297"/>
      <c r="J26" s="350">
        <v>3051429.18</v>
      </c>
      <c r="K26" s="351"/>
      <c r="L26" s="350">
        <v>-1204883.92</v>
      </c>
      <c r="M26" s="351"/>
      <c r="N26" s="350">
        <f>J26+L26</f>
        <v>1846545.2600000002</v>
      </c>
      <c r="O26" s="351"/>
    </row>
    <row r="27" spans="1:15" ht="15.75">
      <c r="A27" s="331" t="s">
        <v>227</v>
      </c>
      <c r="B27" s="332"/>
      <c r="C27" s="332"/>
      <c r="D27" s="332"/>
      <c r="E27" s="332"/>
      <c r="F27" s="332"/>
      <c r="G27" s="332"/>
      <c r="H27" s="332"/>
      <c r="I27" s="333"/>
      <c r="J27" s="352">
        <v>5000</v>
      </c>
      <c r="K27" s="353"/>
      <c r="L27" s="352">
        <v>-2000</v>
      </c>
      <c r="M27" s="353"/>
      <c r="N27" s="352">
        <f>J27+L27</f>
        <v>3000</v>
      </c>
      <c r="O27" s="353"/>
    </row>
    <row r="28" spans="1:15" ht="15.75" customHeight="1">
      <c r="A28" s="295" t="s">
        <v>205</v>
      </c>
      <c r="B28" s="296"/>
      <c r="C28" s="296"/>
      <c r="D28" s="296"/>
      <c r="E28" s="296"/>
      <c r="F28" s="296"/>
      <c r="G28" s="296"/>
      <c r="H28" s="296"/>
      <c r="I28" s="297"/>
      <c r="J28" s="350">
        <v>59939.82</v>
      </c>
      <c r="K28" s="351"/>
      <c r="L28" s="350">
        <v>-34722.5</v>
      </c>
      <c r="M28" s="351"/>
      <c r="N28" s="350">
        <f>J28+L28</f>
        <v>25217.32</v>
      </c>
      <c r="O28" s="351"/>
    </row>
    <row r="29" spans="1:15" ht="15.75">
      <c r="A29" s="289" t="s">
        <v>206</v>
      </c>
      <c r="B29" s="290"/>
      <c r="C29" s="290"/>
      <c r="D29" s="290"/>
      <c r="E29" s="290"/>
      <c r="F29" s="290"/>
      <c r="G29" s="290"/>
      <c r="H29" s="290"/>
      <c r="I29" s="291"/>
      <c r="J29" s="350">
        <v>434530.33</v>
      </c>
      <c r="K29" s="351"/>
      <c r="L29" s="350">
        <v>-231527.65</v>
      </c>
      <c r="M29" s="351"/>
      <c r="N29" s="350">
        <f>J29+L29</f>
        <v>203002.68000000002</v>
      </c>
      <c r="O29" s="351"/>
    </row>
    <row r="30" spans="1:15" ht="15.75">
      <c r="A30" s="328" t="s">
        <v>207</v>
      </c>
      <c r="B30" s="329"/>
      <c r="C30" s="329"/>
      <c r="D30" s="329"/>
      <c r="E30" s="329"/>
      <c r="F30" s="329"/>
      <c r="G30" s="329"/>
      <c r="H30" s="329"/>
      <c r="I30" s="330"/>
      <c r="J30" s="356">
        <f>J31</f>
        <v>0</v>
      </c>
      <c r="K30" s="357"/>
      <c r="L30" s="356">
        <f>L31</f>
        <v>0</v>
      </c>
      <c r="M30" s="357"/>
      <c r="N30" s="356">
        <f>N31</f>
        <v>0</v>
      </c>
      <c r="O30" s="357"/>
    </row>
    <row r="31" spans="1:15" ht="15.75">
      <c r="A31" s="289" t="s">
        <v>208</v>
      </c>
      <c r="B31" s="290"/>
      <c r="C31" s="290"/>
      <c r="D31" s="290"/>
      <c r="E31" s="290"/>
      <c r="F31" s="290"/>
      <c r="G31" s="290"/>
      <c r="H31" s="290"/>
      <c r="I31" s="291"/>
      <c r="J31" s="350">
        <f>J508</f>
        <v>0</v>
      </c>
      <c r="K31" s="351"/>
      <c r="L31" s="350">
        <f>L508</f>
        <v>0</v>
      </c>
      <c r="M31" s="351"/>
      <c r="N31" s="350">
        <f>N508</f>
        <v>0</v>
      </c>
      <c r="O31" s="351"/>
    </row>
    <row r="32" spans="1:15" ht="15.75">
      <c r="A32" s="328" t="s">
        <v>209</v>
      </c>
      <c r="B32" s="329"/>
      <c r="C32" s="329"/>
      <c r="D32" s="329"/>
      <c r="E32" s="329"/>
      <c r="F32" s="329"/>
      <c r="G32" s="329"/>
      <c r="H32" s="329"/>
      <c r="I32" s="330"/>
      <c r="J32" s="356">
        <f>J33+J34+J35+J36</f>
        <v>189790</v>
      </c>
      <c r="K32" s="357"/>
      <c r="L32" s="356">
        <f>L33+L34+L35+L36</f>
        <v>-6442.15</v>
      </c>
      <c r="M32" s="357"/>
      <c r="N32" s="356">
        <f t="shared" ref="N32:N44" si="1">J32+L32</f>
        <v>183347.85</v>
      </c>
      <c r="O32" s="357"/>
    </row>
    <row r="33" spans="1:15" ht="15.75">
      <c r="A33" s="295" t="s">
        <v>210</v>
      </c>
      <c r="B33" s="296"/>
      <c r="C33" s="296"/>
      <c r="D33" s="296"/>
      <c r="E33" s="296"/>
      <c r="F33" s="296"/>
      <c r="G33" s="296"/>
      <c r="H33" s="296"/>
      <c r="I33" s="297"/>
      <c r="J33" s="350">
        <v>133290</v>
      </c>
      <c r="K33" s="351"/>
      <c r="L33" s="350">
        <v>-6442.15</v>
      </c>
      <c r="M33" s="351"/>
      <c r="N33" s="350">
        <f t="shared" si="1"/>
        <v>126847.85</v>
      </c>
      <c r="O33" s="351"/>
    </row>
    <row r="34" spans="1:15" ht="15.75">
      <c r="A34" s="295" t="s">
        <v>211</v>
      </c>
      <c r="B34" s="296"/>
      <c r="C34" s="296"/>
      <c r="D34" s="296"/>
      <c r="E34" s="296"/>
      <c r="F34" s="296"/>
      <c r="G34" s="296"/>
      <c r="H34" s="296"/>
      <c r="I34" s="297"/>
      <c r="J34" s="350">
        <v>23000</v>
      </c>
      <c r="K34" s="351"/>
      <c r="L34" s="350">
        <v>0</v>
      </c>
      <c r="M34" s="351"/>
      <c r="N34" s="350">
        <f t="shared" si="1"/>
        <v>23000</v>
      </c>
      <c r="O34" s="351"/>
    </row>
    <row r="35" spans="1:15" ht="15.75">
      <c r="A35" s="331" t="s">
        <v>212</v>
      </c>
      <c r="B35" s="332"/>
      <c r="C35" s="332"/>
      <c r="D35" s="332"/>
      <c r="E35" s="332"/>
      <c r="F35" s="332"/>
      <c r="G35" s="332"/>
      <c r="H35" s="332"/>
      <c r="I35" s="333"/>
      <c r="J35" s="352">
        <v>30000</v>
      </c>
      <c r="K35" s="353"/>
      <c r="L35" s="352">
        <v>0</v>
      </c>
      <c r="M35" s="353"/>
      <c r="N35" s="352">
        <f t="shared" si="1"/>
        <v>30000</v>
      </c>
      <c r="O35" s="353"/>
    </row>
    <row r="36" spans="1:15" ht="15.75">
      <c r="A36" s="331" t="s">
        <v>230</v>
      </c>
      <c r="B36" s="332"/>
      <c r="C36" s="332"/>
      <c r="D36" s="332"/>
      <c r="E36" s="332"/>
      <c r="F36" s="332"/>
      <c r="G36" s="332"/>
      <c r="H36" s="332"/>
      <c r="I36" s="333"/>
      <c r="J36" s="352">
        <v>3500</v>
      </c>
      <c r="K36" s="353"/>
      <c r="L36" s="352">
        <v>0</v>
      </c>
      <c r="M36" s="353"/>
      <c r="N36" s="352">
        <f t="shared" si="1"/>
        <v>3500</v>
      </c>
      <c r="O36" s="353"/>
    </row>
    <row r="37" spans="1:15" s="230" customFormat="1" ht="15.75">
      <c r="A37" s="334" t="s">
        <v>213</v>
      </c>
      <c r="B37" s="335"/>
      <c r="C37" s="335"/>
      <c r="D37" s="335"/>
      <c r="E37" s="335"/>
      <c r="F37" s="335"/>
      <c r="G37" s="335"/>
      <c r="H37" s="335"/>
      <c r="I37" s="336"/>
      <c r="J37" s="360">
        <f>SUM(J38)+J39</f>
        <v>1126653.3999999999</v>
      </c>
      <c r="K37" s="361"/>
      <c r="L37" s="360">
        <f>SUM(L38)</f>
        <v>-605054.99</v>
      </c>
      <c r="M37" s="361"/>
      <c r="N37" s="360">
        <f t="shared" si="1"/>
        <v>521598.40999999992</v>
      </c>
      <c r="O37" s="361"/>
    </row>
    <row r="38" spans="1:15" ht="15.75">
      <c r="A38" s="331" t="s">
        <v>228</v>
      </c>
      <c r="B38" s="332"/>
      <c r="C38" s="332"/>
      <c r="D38" s="332"/>
      <c r="E38" s="332"/>
      <c r="F38" s="332"/>
      <c r="G38" s="332"/>
      <c r="H38" s="332"/>
      <c r="I38" s="333"/>
      <c r="J38" s="352">
        <v>1126653.3999999999</v>
      </c>
      <c r="K38" s="353"/>
      <c r="L38" s="352">
        <v>-605054.99</v>
      </c>
      <c r="M38" s="353"/>
      <c r="N38" s="352">
        <f t="shared" si="1"/>
        <v>521598.40999999992</v>
      </c>
      <c r="O38" s="353"/>
    </row>
    <row r="39" spans="1:15" ht="15.75">
      <c r="A39" s="331" t="s">
        <v>229</v>
      </c>
      <c r="B39" s="332"/>
      <c r="C39" s="332"/>
      <c r="D39" s="332"/>
      <c r="E39" s="332"/>
      <c r="F39" s="332"/>
      <c r="G39" s="332"/>
      <c r="H39" s="332"/>
      <c r="I39" s="333"/>
      <c r="J39" s="352">
        <v>0</v>
      </c>
      <c r="K39" s="353"/>
      <c r="L39" s="352"/>
      <c r="M39" s="353"/>
      <c r="N39" s="352">
        <f t="shared" si="1"/>
        <v>0</v>
      </c>
      <c r="O39" s="353"/>
    </row>
    <row r="40" spans="1:15" s="230" customFormat="1" ht="15.75">
      <c r="A40" s="334" t="s">
        <v>214</v>
      </c>
      <c r="B40" s="335"/>
      <c r="C40" s="335"/>
      <c r="D40" s="335"/>
      <c r="E40" s="335"/>
      <c r="F40" s="335"/>
      <c r="G40" s="335"/>
      <c r="H40" s="335"/>
      <c r="I40" s="336"/>
      <c r="J40" s="360">
        <f>SUM(J44+J41+J42+J43)</f>
        <v>213006.89</v>
      </c>
      <c r="K40" s="361"/>
      <c r="L40" s="360">
        <f>SUM(L44+L41+L42+L43)</f>
        <v>23227.97</v>
      </c>
      <c r="M40" s="361"/>
      <c r="N40" s="360">
        <f t="shared" si="1"/>
        <v>236234.86000000002</v>
      </c>
      <c r="O40" s="361"/>
    </row>
    <row r="41" spans="1:15" s="230" customFormat="1" ht="15.75">
      <c r="A41" s="331" t="s">
        <v>236</v>
      </c>
      <c r="B41" s="332"/>
      <c r="C41" s="332"/>
      <c r="D41" s="332"/>
      <c r="E41" s="332"/>
      <c r="F41" s="332"/>
      <c r="G41" s="332"/>
      <c r="H41" s="332"/>
      <c r="I41" s="333"/>
      <c r="J41" s="352">
        <v>0</v>
      </c>
      <c r="K41" s="353"/>
      <c r="L41" s="352">
        <v>0</v>
      </c>
      <c r="M41" s="353"/>
      <c r="N41" s="352">
        <f t="shared" si="1"/>
        <v>0</v>
      </c>
      <c r="O41" s="353"/>
    </row>
    <row r="42" spans="1:15" s="230" customFormat="1" ht="15.75">
      <c r="A42" s="331" t="s">
        <v>215</v>
      </c>
      <c r="B42" s="332"/>
      <c r="C42" s="332"/>
      <c r="D42" s="332"/>
      <c r="E42" s="332"/>
      <c r="F42" s="332"/>
      <c r="G42" s="332"/>
      <c r="H42" s="332"/>
      <c r="I42" s="333"/>
      <c r="J42" s="352">
        <v>0</v>
      </c>
      <c r="K42" s="353"/>
      <c r="L42" s="352">
        <v>0</v>
      </c>
      <c r="M42" s="353"/>
      <c r="N42" s="352">
        <f t="shared" si="1"/>
        <v>0</v>
      </c>
      <c r="O42" s="353"/>
    </row>
    <row r="43" spans="1:15" s="230" customFormat="1" ht="15.75">
      <c r="A43" s="331" t="s">
        <v>216</v>
      </c>
      <c r="B43" s="332"/>
      <c r="C43" s="332"/>
      <c r="D43" s="332"/>
      <c r="E43" s="332"/>
      <c r="F43" s="332"/>
      <c r="G43" s="332"/>
      <c r="H43" s="332"/>
      <c r="I43" s="333"/>
      <c r="J43" s="352">
        <v>53300</v>
      </c>
      <c r="K43" s="353"/>
      <c r="L43" s="352">
        <v>-16600</v>
      </c>
      <c r="M43" s="353"/>
      <c r="N43" s="352">
        <f t="shared" si="1"/>
        <v>36700</v>
      </c>
      <c r="O43" s="353"/>
    </row>
    <row r="44" spans="1:15" ht="15.75" customHeight="1">
      <c r="A44" s="347" t="s">
        <v>271</v>
      </c>
      <c r="B44" s="348"/>
      <c r="C44" s="348"/>
      <c r="D44" s="348"/>
      <c r="E44" s="348"/>
      <c r="F44" s="348"/>
      <c r="G44" s="348"/>
      <c r="H44" s="348"/>
      <c r="I44" s="349"/>
      <c r="J44" s="352">
        <v>159706.89000000001</v>
      </c>
      <c r="K44" s="353"/>
      <c r="L44" s="352">
        <v>39827.97</v>
      </c>
      <c r="M44" s="353"/>
      <c r="N44" s="352">
        <f t="shared" si="1"/>
        <v>199534.86000000002</v>
      </c>
      <c r="O44" s="353"/>
    </row>
    <row r="45" spans="1:15" ht="15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1:15" ht="15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1:15" ht="15.75">
      <c r="A47" s="44"/>
      <c r="B47" s="234" t="s">
        <v>217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5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ht="15.75">
      <c r="A49" s="358" t="s">
        <v>328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58"/>
      <c r="L49" s="358"/>
      <c r="M49" s="358"/>
      <c r="N49" s="358"/>
      <c r="O49" s="358"/>
    </row>
    <row r="50" spans="1:15" ht="15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1:15" ht="15.75">
      <c r="A51" s="44" t="s">
        <v>344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5" ht="49.5" customHeight="1">
      <c r="A53" s="235" t="s">
        <v>218</v>
      </c>
      <c r="B53" s="235" t="s">
        <v>219</v>
      </c>
      <c r="C53" s="298" t="s">
        <v>260</v>
      </c>
      <c r="D53" s="299"/>
      <c r="E53" s="299"/>
      <c r="F53" s="299"/>
      <c r="G53" s="299"/>
      <c r="H53" s="299"/>
      <c r="I53" s="300"/>
      <c r="J53" s="354" t="s">
        <v>267</v>
      </c>
      <c r="K53" s="355"/>
      <c r="L53" s="354" t="s">
        <v>337</v>
      </c>
      <c r="M53" s="355"/>
      <c r="N53" s="354" t="s">
        <v>338</v>
      </c>
      <c r="O53" s="355"/>
    </row>
    <row r="54" spans="1:15" ht="29.25" customHeight="1">
      <c r="A54" s="236">
        <v>8</v>
      </c>
      <c r="B54" s="236"/>
      <c r="C54" s="289" t="s">
        <v>21</v>
      </c>
      <c r="D54" s="290"/>
      <c r="E54" s="290"/>
      <c r="F54" s="290"/>
      <c r="G54" s="290"/>
      <c r="H54" s="290"/>
      <c r="I54" s="291"/>
      <c r="J54" s="285">
        <f>J56+J55</f>
        <v>628246.34000000008</v>
      </c>
      <c r="K54" s="286"/>
      <c r="L54" s="285">
        <f>L55+L56</f>
        <v>94669.59</v>
      </c>
      <c r="M54" s="286"/>
      <c r="N54" s="285">
        <f t="shared" ref="N54:N60" si="2">J54+L54</f>
        <v>722915.93</v>
      </c>
      <c r="O54" s="286"/>
    </row>
    <row r="55" spans="1:15" ht="15.75" customHeight="1">
      <c r="A55" s="236"/>
      <c r="B55" s="236">
        <v>81</v>
      </c>
      <c r="C55" s="325" t="s">
        <v>277</v>
      </c>
      <c r="D55" s="326"/>
      <c r="E55" s="326"/>
      <c r="F55" s="326"/>
      <c r="G55" s="326"/>
      <c r="H55" s="326"/>
      <c r="I55" s="327"/>
      <c r="J55" s="337">
        <v>3981.68</v>
      </c>
      <c r="K55" s="338"/>
      <c r="L55" s="337">
        <v>0</v>
      </c>
      <c r="M55" s="338"/>
      <c r="N55" s="337">
        <f t="shared" si="2"/>
        <v>3981.68</v>
      </c>
      <c r="O55" s="338"/>
    </row>
    <row r="56" spans="1:15" ht="18.75" customHeight="1">
      <c r="A56" s="236"/>
      <c r="B56" s="236">
        <v>84</v>
      </c>
      <c r="C56" s="295" t="s">
        <v>12</v>
      </c>
      <c r="D56" s="296"/>
      <c r="E56" s="296"/>
      <c r="F56" s="296"/>
      <c r="G56" s="296"/>
      <c r="H56" s="296"/>
      <c r="I56" s="297"/>
      <c r="J56" s="337">
        <v>624264.66</v>
      </c>
      <c r="K56" s="338"/>
      <c r="L56" s="337">
        <v>94669.59</v>
      </c>
      <c r="M56" s="338"/>
      <c r="N56" s="337">
        <f t="shared" si="2"/>
        <v>718934.25</v>
      </c>
      <c r="O56" s="338"/>
    </row>
    <row r="57" spans="1:15" ht="15.75" customHeight="1">
      <c r="A57" s="236">
        <v>5</v>
      </c>
      <c r="B57" s="236"/>
      <c r="C57" s="289" t="s">
        <v>222</v>
      </c>
      <c r="D57" s="290"/>
      <c r="E57" s="290"/>
      <c r="F57" s="290"/>
      <c r="G57" s="290"/>
      <c r="H57" s="290"/>
      <c r="I57" s="291"/>
      <c r="J57" s="285">
        <f>J58+J60+J59</f>
        <v>91633.64</v>
      </c>
      <c r="K57" s="286"/>
      <c r="L57" s="285">
        <f>L60+L58+L59</f>
        <v>-71725.22</v>
      </c>
      <c r="M57" s="286"/>
      <c r="N57" s="285">
        <f t="shared" si="2"/>
        <v>19908.419999999998</v>
      </c>
      <c r="O57" s="286"/>
    </row>
    <row r="58" spans="1:15" ht="15.75" customHeight="1">
      <c r="A58" s="236"/>
      <c r="B58" s="236">
        <v>51</v>
      </c>
      <c r="C58" s="289" t="s">
        <v>276</v>
      </c>
      <c r="D58" s="290"/>
      <c r="E58" s="290"/>
      <c r="F58" s="290"/>
      <c r="G58" s="290"/>
      <c r="H58" s="290"/>
      <c r="I58" s="291"/>
      <c r="J58" s="285">
        <v>19908.419999999998</v>
      </c>
      <c r="K58" s="286"/>
      <c r="L58" s="285">
        <v>0</v>
      </c>
      <c r="M58" s="286"/>
      <c r="N58" s="285">
        <f t="shared" si="2"/>
        <v>19908.419999999998</v>
      </c>
      <c r="O58" s="286"/>
    </row>
    <row r="59" spans="1:15" ht="15.75" customHeight="1">
      <c r="A59" s="236"/>
      <c r="B59" s="236">
        <v>53</v>
      </c>
      <c r="C59" s="325" t="s">
        <v>274</v>
      </c>
      <c r="D59" s="326"/>
      <c r="E59" s="326"/>
      <c r="F59" s="326"/>
      <c r="G59" s="326"/>
      <c r="H59" s="326"/>
      <c r="I59" s="327"/>
      <c r="J59" s="337">
        <v>0</v>
      </c>
      <c r="K59" s="338"/>
      <c r="L59" s="337">
        <v>0</v>
      </c>
      <c r="M59" s="338"/>
      <c r="N59" s="337">
        <f t="shared" si="2"/>
        <v>0</v>
      </c>
      <c r="O59" s="338"/>
    </row>
    <row r="60" spans="1:15" ht="15.75">
      <c r="A60" s="236"/>
      <c r="B60" s="236">
        <v>54</v>
      </c>
      <c r="C60" s="295" t="s">
        <v>223</v>
      </c>
      <c r="D60" s="296"/>
      <c r="E60" s="296"/>
      <c r="F60" s="296"/>
      <c r="G60" s="296"/>
      <c r="H60" s="296"/>
      <c r="I60" s="297"/>
      <c r="J60" s="285">
        <v>71725.22</v>
      </c>
      <c r="K60" s="286"/>
      <c r="L60" s="285">
        <v>-71725.22</v>
      </c>
      <c r="M60" s="286"/>
      <c r="N60" s="285">
        <f t="shared" si="2"/>
        <v>0</v>
      </c>
      <c r="O60" s="286"/>
    </row>
    <row r="61" spans="1:15" ht="15.75">
      <c r="A61" s="44"/>
      <c r="B61" s="44"/>
      <c r="C61" s="237"/>
      <c r="D61" s="237"/>
      <c r="E61" s="237"/>
      <c r="F61" s="233"/>
      <c r="G61" s="233"/>
      <c r="H61" s="233"/>
      <c r="I61" s="233"/>
      <c r="J61" s="233"/>
      <c r="K61" s="233"/>
      <c r="L61" s="233"/>
      <c r="M61" s="233"/>
      <c r="N61" s="233"/>
      <c r="O61" s="233"/>
    </row>
    <row r="62" spans="1:15" ht="15.75">
      <c r="A62" s="44"/>
      <c r="B62" s="44"/>
      <c r="C62" s="237"/>
      <c r="D62" s="237"/>
      <c r="E62" s="237"/>
      <c r="F62" s="233"/>
      <c r="G62" s="233"/>
      <c r="H62" s="233"/>
      <c r="I62" s="233"/>
      <c r="J62" s="233"/>
      <c r="K62" s="233"/>
      <c r="L62" s="233"/>
      <c r="M62" s="233"/>
      <c r="N62" s="233"/>
      <c r="O62" s="233"/>
    </row>
    <row r="63" spans="1:15" ht="15.75">
      <c r="A63" s="44" t="s">
        <v>345</v>
      </c>
      <c r="B63" s="44"/>
      <c r="C63" s="44"/>
      <c r="D63" s="237"/>
      <c r="E63" s="237"/>
      <c r="F63" s="233"/>
      <c r="G63" s="233"/>
      <c r="H63" s="233"/>
      <c r="I63" s="233"/>
      <c r="J63" s="233"/>
      <c r="K63" s="233"/>
      <c r="L63" s="233"/>
      <c r="M63" s="233"/>
      <c r="N63" s="233"/>
      <c r="O63" s="233"/>
    </row>
    <row r="64" spans="1:15" ht="15.75">
      <c r="A64" s="44"/>
      <c r="B64" s="44"/>
      <c r="C64" s="44"/>
      <c r="D64" s="237"/>
      <c r="E64" s="237"/>
      <c r="F64" s="233"/>
      <c r="G64" s="233"/>
      <c r="H64" s="233"/>
      <c r="I64" s="233"/>
      <c r="J64" s="233"/>
      <c r="K64" s="233"/>
      <c r="L64" s="233"/>
      <c r="M64" s="233"/>
      <c r="N64" s="233"/>
      <c r="O64" s="233"/>
    </row>
    <row r="65" spans="1:15" ht="15.75">
      <c r="A65" s="44"/>
      <c r="B65" s="44"/>
      <c r="C65" s="44"/>
      <c r="D65" s="237"/>
      <c r="E65" s="237"/>
      <c r="F65" s="233"/>
      <c r="G65" s="233"/>
      <c r="H65" s="233"/>
      <c r="I65" s="233"/>
      <c r="J65" s="233"/>
      <c r="K65" s="233"/>
      <c r="L65" s="233"/>
      <c r="M65" s="233"/>
      <c r="N65" s="233"/>
      <c r="O65" s="233"/>
    </row>
    <row r="66" spans="1:15" ht="51" customHeight="1">
      <c r="A66" s="235" t="s">
        <v>218</v>
      </c>
      <c r="B66" s="235" t="s">
        <v>219</v>
      </c>
      <c r="C66" s="235" t="s">
        <v>13</v>
      </c>
      <c r="D66" s="298" t="s">
        <v>220</v>
      </c>
      <c r="E66" s="299"/>
      <c r="F66" s="299"/>
      <c r="G66" s="299"/>
      <c r="H66" s="299"/>
      <c r="I66" s="300"/>
      <c r="J66" s="354" t="s">
        <v>267</v>
      </c>
      <c r="K66" s="355"/>
      <c r="L66" s="354" t="s">
        <v>337</v>
      </c>
      <c r="M66" s="355"/>
      <c r="N66" s="354" t="s">
        <v>338</v>
      </c>
      <c r="O66" s="355"/>
    </row>
    <row r="67" spans="1:15" ht="34.5" customHeight="1">
      <c r="A67" s="236">
        <v>8</v>
      </c>
      <c r="B67" s="236"/>
      <c r="C67" s="236"/>
      <c r="D67" s="289" t="s">
        <v>21</v>
      </c>
      <c r="E67" s="290"/>
      <c r="F67" s="290"/>
      <c r="G67" s="290"/>
      <c r="H67" s="290"/>
      <c r="I67" s="291"/>
      <c r="J67" s="285">
        <f>J69+J68</f>
        <v>628246.34000000008</v>
      </c>
      <c r="K67" s="286"/>
      <c r="L67" s="285">
        <f>L68+L69</f>
        <v>94669.59</v>
      </c>
      <c r="M67" s="286"/>
      <c r="N67" s="285">
        <f t="shared" ref="N67:N75" si="3">J67+L67</f>
        <v>722915.93</v>
      </c>
      <c r="O67" s="286"/>
    </row>
    <row r="68" spans="1:15" ht="17.25" customHeight="1">
      <c r="A68" s="236"/>
      <c r="B68" s="236">
        <v>81</v>
      </c>
      <c r="C68" s="236"/>
      <c r="D68" s="325" t="s">
        <v>278</v>
      </c>
      <c r="E68" s="326"/>
      <c r="F68" s="326"/>
      <c r="G68" s="326"/>
      <c r="H68" s="326"/>
      <c r="I68" s="327"/>
      <c r="J68" s="337">
        <v>3981.68</v>
      </c>
      <c r="K68" s="338"/>
      <c r="L68" s="337">
        <v>0</v>
      </c>
      <c r="M68" s="338"/>
      <c r="N68" s="337">
        <f t="shared" si="3"/>
        <v>3981.68</v>
      </c>
      <c r="O68" s="338"/>
    </row>
    <row r="69" spans="1:15" ht="15.75">
      <c r="A69" s="236"/>
      <c r="B69" s="236">
        <v>84</v>
      </c>
      <c r="C69" s="236"/>
      <c r="D69" s="295" t="s">
        <v>12</v>
      </c>
      <c r="E69" s="296"/>
      <c r="F69" s="296"/>
      <c r="G69" s="296"/>
      <c r="H69" s="296"/>
      <c r="I69" s="297"/>
      <c r="J69" s="337">
        <v>624264.66</v>
      </c>
      <c r="K69" s="338"/>
      <c r="L69" s="337">
        <v>94669.59</v>
      </c>
      <c r="M69" s="338"/>
      <c r="N69" s="337">
        <f t="shared" si="3"/>
        <v>718934.25</v>
      </c>
      <c r="O69" s="338"/>
    </row>
    <row r="70" spans="1:15" ht="15.75">
      <c r="A70" s="238"/>
      <c r="B70" s="238"/>
      <c r="C70" s="239" t="s">
        <v>272</v>
      </c>
      <c r="D70" s="295" t="s">
        <v>221</v>
      </c>
      <c r="E70" s="296"/>
      <c r="F70" s="296"/>
      <c r="G70" s="296"/>
      <c r="H70" s="296"/>
      <c r="I70" s="297"/>
      <c r="J70" s="350">
        <v>3981.68</v>
      </c>
      <c r="K70" s="351"/>
      <c r="L70" s="350">
        <v>-3981.68</v>
      </c>
      <c r="M70" s="351"/>
      <c r="N70" s="350">
        <f t="shared" si="3"/>
        <v>0</v>
      </c>
      <c r="O70" s="351"/>
    </row>
    <row r="71" spans="1:15" ht="15.75">
      <c r="A71" s="238"/>
      <c r="B71" s="238"/>
      <c r="C71" s="239" t="s">
        <v>273</v>
      </c>
      <c r="D71" s="325" t="s">
        <v>232</v>
      </c>
      <c r="E71" s="326"/>
      <c r="F71" s="326"/>
      <c r="G71" s="326"/>
      <c r="H71" s="326"/>
      <c r="I71" s="327"/>
      <c r="J71" s="352">
        <v>624264.66</v>
      </c>
      <c r="K71" s="353"/>
      <c r="L71" s="352">
        <v>98651.27</v>
      </c>
      <c r="M71" s="353"/>
      <c r="N71" s="352">
        <f t="shared" si="3"/>
        <v>722915.93</v>
      </c>
      <c r="O71" s="353"/>
    </row>
    <row r="72" spans="1:15" ht="15.75">
      <c r="A72" s="236">
        <v>5</v>
      </c>
      <c r="B72" s="236"/>
      <c r="C72" s="236"/>
      <c r="D72" s="289" t="s">
        <v>222</v>
      </c>
      <c r="E72" s="290"/>
      <c r="F72" s="290"/>
      <c r="G72" s="290"/>
      <c r="H72" s="290"/>
      <c r="I72" s="291"/>
      <c r="J72" s="285">
        <f>J73+J74</f>
        <v>91633.64</v>
      </c>
      <c r="K72" s="286"/>
      <c r="L72" s="285">
        <f>L74+L73</f>
        <v>-71725.22</v>
      </c>
      <c r="M72" s="286"/>
      <c r="N72" s="285">
        <f t="shared" si="3"/>
        <v>19908.419999999998</v>
      </c>
      <c r="O72" s="286"/>
    </row>
    <row r="73" spans="1:15" ht="15.75" customHeight="1">
      <c r="A73" s="236"/>
      <c r="B73" s="236">
        <v>51</v>
      </c>
      <c r="C73" s="236"/>
      <c r="D73" s="289" t="s">
        <v>276</v>
      </c>
      <c r="E73" s="290"/>
      <c r="F73" s="290"/>
      <c r="G73" s="290"/>
      <c r="H73" s="290"/>
      <c r="I73" s="291"/>
      <c r="J73" s="285">
        <v>19908.419999999998</v>
      </c>
      <c r="K73" s="286"/>
      <c r="L73" s="285">
        <v>0</v>
      </c>
      <c r="M73" s="286"/>
      <c r="N73" s="285">
        <f t="shared" si="3"/>
        <v>19908.419999999998</v>
      </c>
      <c r="O73" s="286"/>
    </row>
    <row r="74" spans="1:15" ht="15.75">
      <c r="A74" s="236"/>
      <c r="B74" s="236">
        <v>54</v>
      </c>
      <c r="C74" s="236"/>
      <c r="D74" s="295" t="s">
        <v>223</v>
      </c>
      <c r="E74" s="296"/>
      <c r="F74" s="296"/>
      <c r="G74" s="296"/>
      <c r="H74" s="296"/>
      <c r="I74" s="297"/>
      <c r="J74" s="285">
        <v>71725.22</v>
      </c>
      <c r="K74" s="286"/>
      <c r="L74" s="285">
        <v>-71725.22</v>
      </c>
      <c r="M74" s="286"/>
      <c r="N74" s="285">
        <f t="shared" si="3"/>
        <v>0</v>
      </c>
      <c r="O74" s="286"/>
    </row>
    <row r="75" spans="1:15" ht="15.75" customHeight="1">
      <c r="A75" s="238"/>
      <c r="B75" s="238"/>
      <c r="C75" s="238">
        <v>10</v>
      </c>
      <c r="D75" s="295" t="s">
        <v>221</v>
      </c>
      <c r="E75" s="296"/>
      <c r="F75" s="296"/>
      <c r="G75" s="296"/>
      <c r="H75" s="296"/>
      <c r="I75" s="297"/>
      <c r="J75" s="350">
        <v>91633.64</v>
      </c>
      <c r="K75" s="351"/>
      <c r="L75" s="350">
        <v>-75706.899999999994</v>
      </c>
      <c r="M75" s="351"/>
      <c r="N75" s="350">
        <f t="shared" si="3"/>
        <v>15926.740000000005</v>
      </c>
      <c r="O75" s="351"/>
    </row>
    <row r="76" spans="1:15" ht="15.75">
      <c r="A76" s="236"/>
      <c r="B76" s="236"/>
      <c r="C76" s="236">
        <v>80</v>
      </c>
      <c r="D76" s="362" t="s">
        <v>232</v>
      </c>
      <c r="E76" s="345"/>
      <c r="F76" s="345"/>
      <c r="G76" s="345"/>
      <c r="H76" s="345"/>
      <c r="I76" s="346"/>
      <c r="J76" s="337">
        <v>0</v>
      </c>
      <c r="K76" s="338"/>
      <c r="L76" s="337">
        <v>3981.68</v>
      </c>
      <c r="M76" s="338"/>
      <c r="N76" s="337">
        <f t="shared" ref="N76" si="4">J76+L76</f>
        <v>3981.68</v>
      </c>
      <c r="O76" s="338"/>
    </row>
  </sheetData>
  <mergeCells count="234">
    <mergeCell ref="L56:M56"/>
    <mergeCell ref="J56:K56"/>
    <mergeCell ref="J60:K60"/>
    <mergeCell ref="L60:M60"/>
    <mergeCell ref="J55:K55"/>
    <mergeCell ref="J53:K53"/>
    <mergeCell ref="L53:M53"/>
    <mergeCell ref="N53:O53"/>
    <mergeCell ref="N39:O39"/>
    <mergeCell ref="J38:K38"/>
    <mergeCell ref="D76:I76"/>
    <mergeCell ref="J76:K76"/>
    <mergeCell ref="L76:M76"/>
    <mergeCell ref="N76:O76"/>
    <mergeCell ref="N41:O41"/>
    <mergeCell ref="J41:K41"/>
    <mergeCell ref="L41:M41"/>
    <mergeCell ref="J44:K44"/>
    <mergeCell ref="L42:M42"/>
    <mergeCell ref="L43:M43"/>
    <mergeCell ref="N60:O60"/>
    <mergeCell ref="J58:K58"/>
    <mergeCell ref="L58:M58"/>
    <mergeCell ref="N58:O58"/>
    <mergeCell ref="J57:K57"/>
    <mergeCell ref="L57:M57"/>
    <mergeCell ref="N57:O57"/>
    <mergeCell ref="N55:O55"/>
    <mergeCell ref="N56:O56"/>
    <mergeCell ref="L55:M55"/>
    <mergeCell ref="N59:O59"/>
    <mergeCell ref="J59:K59"/>
    <mergeCell ref="L59:M59"/>
    <mergeCell ref="L38:M38"/>
    <mergeCell ref="N38:O38"/>
    <mergeCell ref="J37:K37"/>
    <mergeCell ref="N37:O37"/>
    <mergeCell ref="N40:O40"/>
    <mergeCell ref="L37:M37"/>
    <mergeCell ref="L39:M39"/>
    <mergeCell ref="J40:K40"/>
    <mergeCell ref="J54:K54"/>
    <mergeCell ref="L54:M54"/>
    <mergeCell ref="L44:M44"/>
    <mergeCell ref="J39:K39"/>
    <mergeCell ref="L40:M40"/>
    <mergeCell ref="N42:O42"/>
    <mergeCell ref="N43:O43"/>
    <mergeCell ref="J42:K42"/>
    <mergeCell ref="J43:K43"/>
    <mergeCell ref="N54:O54"/>
    <mergeCell ref="N44:O44"/>
    <mergeCell ref="A49:O49"/>
    <mergeCell ref="J34:K34"/>
    <mergeCell ref="J33:K33"/>
    <mergeCell ref="L33:M33"/>
    <mergeCell ref="N33:O33"/>
    <mergeCell ref="L36:M36"/>
    <mergeCell ref="N36:O36"/>
    <mergeCell ref="J35:K35"/>
    <mergeCell ref="L35:M35"/>
    <mergeCell ref="N35:O35"/>
    <mergeCell ref="N34:O34"/>
    <mergeCell ref="L34:M34"/>
    <mergeCell ref="J36:K36"/>
    <mergeCell ref="J29:K29"/>
    <mergeCell ref="L29:M29"/>
    <mergeCell ref="N29:O29"/>
    <mergeCell ref="L32:M32"/>
    <mergeCell ref="N32:O32"/>
    <mergeCell ref="J32:K32"/>
    <mergeCell ref="J30:K30"/>
    <mergeCell ref="L30:M30"/>
    <mergeCell ref="N30:O30"/>
    <mergeCell ref="J31:K31"/>
    <mergeCell ref="L31:M31"/>
    <mergeCell ref="N31:O31"/>
    <mergeCell ref="A24:I24"/>
    <mergeCell ref="A25:I25"/>
    <mergeCell ref="J28:K28"/>
    <mergeCell ref="L28:M28"/>
    <mergeCell ref="N28:O28"/>
    <mergeCell ref="J26:K26"/>
    <mergeCell ref="L26:M26"/>
    <mergeCell ref="N26:O26"/>
    <mergeCell ref="J27:K27"/>
    <mergeCell ref="L27:M27"/>
    <mergeCell ref="N27:O27"/>
    <mergeCell ref="A26:I26"/>
    <mergeCell ref="A27:I27"/>
    <mergeCell ref="A28:I28"/>
    <mergeCell ref="J23:K23"/>
    <mergeCell ref="L23:M23"/>
    <mergeCell ref="N23:O23"/>
    <mergeCell ref="J22:K22"/>
    <mergeCell ref="L22:M22"/>
    <mergeCell ref="N22:O22"/>
    <mergeCell ref="J25:K25"/>
    <mergeCell ref="L25:M25"/>
    <mergeCell ref="N25:O25"/>
    <mergeCell ref="J24:K24"/>
    <mergeCell ref="L24:M24"/>
    <mergeCell ref="N24:O24"/>
    <mergeCell ref="L21:M21"/>
    <mergeCell ref="N21:O21"/>
    <mergeCell ref="J19:K19"/>
    <mergeCell ref="J20:K20"/>
    <mergeCell ref="J21:K21"/>
    <mergeCell ref="J18:K18"/>
    <mergeCell ref="J17:K17"/>
    <mergeCell ref="L16:M16"/>
    <mergeCell ref="J15:K15"/>
    <mergeCell ref="L15:M15"/>
    <mergeCell ref="N15:O15"/>
    <mergeCell ref="L17:M17"/>
    <mergeCell ref="L18:M18"/>
    <mergeCell ref="L19:M19"/>
    <mergeCell ref="L20:M20"/>
    <mergeCell ref="N16:O16"/>
    <mergeCell ref="N19:O19"/>
    <mergeCell ref="N20:O20"/>
    <mergeCell ref="J16:K16"/>
    <mergeCell ref="L14:M14"/>
    <mergeCell ref="N14:O14"/>
    <mergeCell ref="J13:K13"/>
    <mergeCell ref="L13:M13"/>
    <mergeCell ref="N13:O13"/>
    <mergeCell ref="A13:I13"/>
    <mergeCell ref="A14:I14"/>
    <mergeCell ref="N17:O17"/>
    <mergeCell ref="N18:O18"/>
    <mergeCell ref="A1:O1"/>
    <mergeCell ref="J6:K6"/>
    <mergeCell ref="L6:M6"/>
    <mergeCell ref="N6:O6"/>
    <mergeCell ref="A6:I6"/>
    <mergeCell ref="A7:I7"/>
    <mergeCell ref="J9:K9"/>
    <mergeCell ref="L9:M9"/>
    <mergeCell ref="N9:O9"/>
    <mergeCell ref="J8:K8"/>
    <mergeCell ref="L8:M8"/>
    <mergeCell ref="N8:O8"/>
    <mergeCell ref="A8:I8"/>
    <mergeCell ref="A9:I9"/>
    <mergeCell ref="N69:O69"/>
    <mergeCell ref="D69:I69"/>
    <mergeCell ref="J66:K66"/>
    <mergeCell ref="L66:M66"/>
    <mergeCell ref="N66:O66"/>
    <mergeCell ref="J67:K67"/>
    <mergeCell ref="L67:M67"/>
    <mergeCell ref="N67:O67"/>
    <mergeCell ref="J7:K7"/>
    <mergeCell ref="L7:M7"/>
    <mergeCell ref="N7:O7"/>
    <mergeCell ref="J12:K12"/>
    <mergeCell ref="L12:M12"/>
    <mergeCell ref="N12:O12"/>
    <mergeCell ref="J10:K10"/>
    <mergeCell ref="L10:M10"/>
    <mergeCell ref="N10:O10"/>
    <mergeCell ref="L11:M11"/>
    <mergeCell ref="N11:O11"/>
    <mergeCell ref="J11:K11"/>
    <mergeCell ref="A10:I10"/>
    <mergeCell ref="A11:I11"/>
    <mergeCell ref="A12:I12"/>
    <mergeCell ref="J14:K14"/>
    <mergeCell ref="J74:K74"/>
    <mergeCell ref="L74:M74"/>
    <mergeCell ref="N74:O74"/>
    <mergeCell ref="J75:K75"/>
    <mergeCell ref="L75:M75"/>
    <mergeCell ref="N75:O75"/>
    <mergeCell ref="N73:O73"/>
    <mergeCell ref="J70:K70"/>
    <mergeCell ref="L70:M70"/>
    <mergeCell ref="N70:O70"/>
    <mergeCell ref="J71:K71"/>
    <mergeCell ref="L71:M71"/>
    <mergeCell ref="N71:O71"/>
    <mergeCell ref="J72:K72"/>
    <mergeCell ref="L72:M72"/>
    <mergeCell ref="N72:O72"/>
    <mergeCell ref="J73:K73"/>
    <mergeCell ref="L73:M73"/>
    <mergeCell ref="J68:K68"/>
    <mergeCell ref="L68:M68"/>
    <mergeCell ref="N68:O68"/>
    <mergeCell ref="J69:K69"/>
    <mergeCell ref="L69:M69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38:I38"/>
    <mergeCell ref="A39:I39"/>
    <mergeCell ref="A40:I40"/>
    <mergeCell ref="A41:I41"/>
    <mergeCell ref="A42:I42"/>
    <mergeCell ref="A43:I43"/>
    <mergeCell ref="A44:I44"/>
    <mergeCell ref="C53:I53"/>
    <mergeCell ref="A29:I29"/>
    <mergeCell ref="A30:I30"/>
    <mergeCell ref="A31:I31"/>
    <mergeCell ref="A32:I32"/>
    <mergeCell ref="A33:I33"/>
    <mergeCell ref="A34:I34"/>
    <mergeCell ref="A35:I35"/>
    <mergeCell ref="A36:I36"/>
    <mergeCell ref="A37:I37"/>
    <mergeCell ref="D70:I70"/>
    <mergeCell ref="D71:I71"/>
    <mergeCell ref="C54:I54"/>
    <mergeCell ref="D72:I72"/>
    <mergeCell ref="D73:I73"/>
    <mergeCell ref="D74:I74"/>
    <mergeCell ref="D75:I75"/>
    <mergeCell ref="C55:I55"/>
    <mergeCell ref="C56:I56"/>
    <mergeCell ref="C57:I57"/>
    <mergeCell ref="C58:I58"/>
    <mergeCell ref="C59:I59"/>
    <mergeCell ref="C60:I60"/>
    <mergeCell ref="D66:I66"/>
    <mergeCell ref="D67:I67"/>
    <mergeCell ref="D68:I68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99"/>
  <sheetViews>
    <sheetView tabSelected="1" view="pageLayout" topLeftCell="A502" zoomScale="140" zoomScaleNormal="100" zoomScalePageLayoutView="140" workbookViewId="0">
      <selection activeCell="Q117" sqref="Q117"/>
    </sheetView>
  </sheetViews>
  <sheetFormatPr defaultColWidth="8.625" defaultRowHeight="15"/>
  <cols>
    <col min="1" max="1" width="0.125" style="1" customWidth="1"/>
    <col min="2" max="4" width="1.625" style="1" hidden="1" customWidth="1"/>
    <col min="5" max="5" width="1.75" style="1" hidden="1" customWidth="1"/>
    <col min="6" max="7" width="1.625" style="1" hidden="1" customWidth="1"/>
    <col min="8" max="8" width="1.75" style="1" hidden="1" customWidth="1"/>
    <col min="9" max="9" width="12.625" style="1" customWidth="1"/>
    <col min="10" max="10" width="54.875" style="1" customWidth="1"/>
    <col min="11" max="12" width="0.25" style="1" hidden="1" customWidth="1"/>
    <col min="13" max="13" width="18.875" style="197" customWidth="1"/>
    <col min="14" max="14" width="15.375" style="197" customWidth="1"/>
    <col min="15" max="15" width="15.5" style="197" customWidth="1"/>
    <col min="16" max="16" width="5.875" style="1" hidden="1" customWidth="1"/>
    <col min="17" max="17" width="8" style="1" customWidth="1"/>
    <col min="18" max="18" width="6.5" style="1" customWidth="1"/>
    <col min="19" max="16384" width="8.625" style="1"/>
  </cols>
  <sheetData>
    <row r="1" spans="1:18" ht="14.85" customHeight="1">
      <c r="A1" s="3" t="s">
        <v>22</v>
      </c>
      <c r="I1" s="3" t="s">
        <v>22</v>
      </c>
      <c r="J1" s="3" t="s">
        <v>23</v>
      </c>
      <c r="K1" s="2"/>
      <c r="L1" s="2"/>
      <c r="M1" s="95"/>
      <c r="N1" s="95"/>
      <c r="O1" s="240"/>
      <c r="P1" s="2"/>
      <c r="Q1" s="2"/>
      <c r="R1" s="2"/>
    </row>
    <row r="2" spans="1:18" ht="14.1" hidden="1" customHeight="1">
      <c r="I2" s="2"/>
      <c r="J2" s="2"/>
      <c r="K2" s="2"/>
      <c r="L2" s="2"/>
      <c r="M2" s="95"/>
      <c r="N2" s="95"/>
      <c r="O2" s="95"/>
      <c r="P2" s="2"/>
      <c r="Q2" s="2"/>
      <c r="R2" s="2"/>
    </row>
    <row r="3" spans="1:18" ht="15.75" hidden="1">
      <c r="I3" s="2"/>
      <c r="J3" s="2"/>
      <c r="K3" s="2"/>
      <c r="L3" s="2"/>
      <c r="M3" s="95"/>
      <c r="N3" s="95"/>
      <c r="O3" s="95"/>
      <c r="P3" s="2"/>
      <c r="Q3" s="2"/>
      <c r="R3" s="2"/>
    </row>
    <row r="4" spans="1:18" ht="15.75" hidden="1">
      <c r="I4" s="2"/>
      <c r="J4" s="2"/>
      <c r="K4" s="2"/>
      <c r="L4" s="2"/>
      <c r="M4" s="95"/>
      <c r="N4" s="95"/>
      <c r="O4" s="95"/>
      <c r="P4" s="2"/>
      <c r="Q4" s="2"/>
      <c r="R4" s="2"/>
    </row>
    <row r="5" spans="1:18" ht="15.75" hidden="1">
      <c r="I5" s="2"/>
      <c r="J5" s="2"/>
      <c r="K5" s="2"/>
      <c r="L5" s="2"/>
      <c r="M5" s="95"/>
      <c r="N5" s="95"/>
      <c r="O5" s="95"/>
      <c r="P5" s="2"/>
      <c r="Q5" s="2"/>
      <c r="R5" s="2"/>
    </row>
    <row r="6" spans="1:18" ht="15.75" hidden="1">
      <c r="I6" s="2"/>
      <c r="J6" s="2"/>
      <c r="K6" s="2"/>
      <c r="L6" s="2"/>
      <c r="M6" s="95"/>
      <c r="N6" s="95"/>
      <c r="O6" s="95"/>
      <c r="P6" s="2"/>
      <c r="Q6" s="2"/>
      <c r="R6" s="2"/>
    </row>
    <row r="7" spans="1:18" ht="15.75" hidden="1">
      <c r="I7" s="2"/>
      <c r="J7" s="2"/>
      <c r="K7" s="2"/>
      <c r="L7" s="2"/>
      <c r="M7" s="95"/>
      <c r="N7" s="95"/>
      <c r="O7" s="95"/>
      <c r="P7" s="2"/>
      <c r="Q7" s="2"/>
      <c r="R7" s="2"/>
    </row>
    <row r="8" spans="1:18" ht="15.75" hidden="1">
      <c r="I8" s="2"/>
      <c r="J8" s="2"/>
      <c r="K8" s="2"/>
      <c r="L8" s="2"/>
      <c r="M8" s="95"/>
      <c r="N8" s="95"/>
      <c r="O8" s="95"/>
      <c r="P8" s="2"/>
      <c r="Q8" s="2"/>
      <c r="R8" s="2"/>
    </row>
    <row r="9" spans="1:18" ht="15.75" hidden="1">
      <c r="I9" s="2"/>
      <c r="J9" s="2"/>
      <c r="K9" s="2"/>
      <c r="L9" s="2"/>
      <c r="M9" s="95"/>
      <c r="N9" s="95"/>
      <c r="O9" s="95"/>
      <c r="P9" s="2"/>
      <c r="Q9" s="2"/>
      <c r="R9" s="2"/>
    </row>
    <row r="10" spans="1:18" ht="15.75" hidden="1">
      <c r="I10" s="2"/>
      <c r="J10" s="2"/>
      <c r="K10" s="2"/>
      <c r="L10" s="2"/>
      <c r="M10" s="95"/>
      <c r="N10" s="95"/>
      <c r="O10" s="95"/>
      <c r="P10" s="2"/>
      <c r="Q10" s="2"/>
      <c r="R10" s="2"/>
    </row>
    <row r="11" spans="1:18" ht="15.75" hidden="1">
      <c r="I11" s="2"/>
      <c r="J11" s="2"/>
      <c r="K11" s="2"/>
      <c r="L11" s="2"/>
      <c r="M11" s="95"/>
      <c r="N11" s="95"/>
      <c r="O11" s="95"/>
      <c r="P11" s="2"/>
      <c r="Q11" s="2"/>
      <c r="R11" s="2"/>
    </row>
    <row r="12" spans="1:18" ht="15.75" hidden="1">
      <c r="I12" s="2"/>
      <c r="J12" s="2"/>
      <c r="K12" s="2"/>
      <c r="L12" s="2"/>
      <c r="M12" s="95"/>
      <c r="N12" s="95"/>
      <c r="O12" s="95"/>
      <c r="P12" s="2"/>
      <c r="Q12" s="2"/>
      <c r="R12" s="2"/>
    </row>
    <row r="13" spans="1:18" ht="15.75" hidden="1">
      <c r="I13" s="2"/>
      <c r="J13" s="2"/>
      <c r="K13" s="2"/>
      <c r="L13" s="2"/>
      <c r="M13" s="95"/>
      <c r="N13" s="95"/>
      <c r="O13" s="95"/>
      <c r="P13" s="2"/>
      <c r="Q13" s="2"/>
      <c r="R13" s="2"/>
    </row>
    <row r="14" spans="1:18" ht="15.75" hidden="1">
      <c r="I14" s="2"/>
      <c r="J14" s="2"/>
      <c r="K14" s="2"/>
      <c r="L14" s="2"/>
      <c r="M14" s="95"/>
      <c r="N14" s="95"/>
      <c r="O14" s="95"/>
      <c r="P14" s="2"/>
      <c r="Q14" s="2"/>
      <c r="R14" s="2"/>
    </row>
    <row r="15" spans="1:18" ht="15.75" hidden="1">
      <c r="I15" s="2"/>
      <c r="J15" s="2"/>
      <c r="K15" s="2"/>
      <c r="L15" s="2"/>
      <c r="M15" s="95"/>
      <c r="N15" s="95"/>
      <c r="O15" s="95"/>
      <c r="P15" s="2"/>
      <c r="Q15" s="2"/>
      <c r="R15" s="2"/>
    </row>
    <row r="16" spans="1:18" ht="15.75" hidden="1">
      <c r="I16" s="2"/>
      <c r="J16" s="2"/>
      <c r="K16" s="2"/>
      <c r="L16" s="2"/>
      <c r="M16" s="95"/>
      <c r="N16" s="95"/>
      <c r="O16" s="95"/>
      <c r="P16" s="2"/>
      <c r="Q16" s="2"/>
      <c r="R16" s="2"/>
    </row>
    <row r="17" spans="9:18" ht="15.75" hidden="1">
      <c r="I17" s="2"/>
      <c r="J17" s="2"/>
      <c r="K17" s="2"/>
      <c r="L17" s="2"/>
      <c r="M17" s="95"/>
      <c r="N17" s="95"/>
      <c r="O17" s="95"/>
      <c r="P17" s="2"/>
      <c r="Q17" s="2"/>
      <c r="R17" s="2"/>
    </row>
    <row r="18" spans="9:18" ht="15.75" hidden="1">
      <c r="I18" s="2"/>
      <c r="J18" s="2"/>
      <c r="K18" s="2"/>
      <c r="L18" s="2"/>
      <c r="M18" s="95"/>
      <c r="N18" s="95"/>
      <c r="O18" s="95"/>
      <c r="P18" s="2"/>
      <c r="Q18" s="2"/>
      <c r="R18" s="2"/>
    </row>
    <row r="19" spans="9:18" ht="15.75" hidden="1">
      <c r="I19" s="2"/>
      <c r="J19" s="2"/>
      <c r="K19" s="2"/>
      <c r="L19" s="2"/>
      <c r="M19" s="95"/>
      <c r="N19" s="95"/>
      <c r="O19" s="95"/>
      <c r="P19" s="2"/>
      <c r="Q19" s="2"/>
      <c r="R19" s="2"/>
    </row>
    <row r="20" spans="9:18" ht="15.75" hidden="1">
      <c r="I20" s="2"/>
      <c r="J20" s="2"/>
      <c r="K20" s="2"/>
      <c r="L20" s="2"/>
      <c r="M20" s="95"/>
      <c r="N20" s="95"/>
      <c r="O20" s="95"/>
      <c r="P20" s="2"/>
      <c r="Q20" s="2"/>
      <c r="R20" s="2"/>
    </row>
    <row r="21" spans="9:18" ht="15.75" hidden="1">
      <c r="I21" s="2"/>
      <c r="J21" s="2"/>
      <c r="K21" s="2"/>
      <c r="L21" s="2"/>
      <c r="M21" s="95"/>
      <c r="N21" s="95"/>
      <c r="O21" s="95"/>
      <c r="P21" s="2"/>
      <c r="Q21" s="2"/>
      <c r="R21" s="2"/>
    </row>
    <row r="22" spans="9:18" ht="15.75" hidden="1">
      <c r="I22" s="2"/>
      <c r="J22" s="2"/>
      <c r="K22" s="2"/>
      <c r="L22" s="2"/>
      <c r="M22" s="95"/>
      <c r="N22" s="95"/>
      <c r="O22" s="95"/>
      <c r="P22" s="2"/>
      <c r="Q22" s="2"/>
      <c r="R22" s="2"/>
    </row>
    <row r="23" spans="9:18" ht="15.75" hidden="1">
      <c r="I23" s="2"/>
      <c r="J23" s="2"/>
      <c r="K23" s="2"/>
      <c r="L23" s="2"/>
      <c r="M23" s="95"/>
      <c r="N23" s="95"/>
      <c r="O23" s="95"/>
      <c r="P23" s="2"/>
      <c r="Q23" s="2"/>
      <c r="R23" s="2"/>
    </row>
    <row r="24" spans="9:18" ht="15.75" hidden="1">
      <c r="I24" s="2"/>
      <c r="J24" s="2"/>
      <c r="K24" s="2"/>
      <c r="L24" s="2"/>
      <c r="M24" s="95"/>
      <c r="N24" s="95"/>
      <c r="O24" s="95"/>
      <c r="P24" s="2"/>
      <c r="Q24" s="2"/>
      <c r="R24" s="2"/>
    </row>
    <row r="25" spans="9:18" ht="15.75" hidden="1">
      <c r="I25" s="2"/>
      <c r="J25" s="2"/>
      <c r="K25" s="2"/>
      <c r="L25" s="2"/>
      <c r="M25" s="95"/>
      <c r="N25" s="95"/>
      <c r="O25" s="95"/>
      <c r="P25" s="2"/>
      <c r="Q25" s="2"/>
      <c r="R25" s="2"/>
    </row>
    <row r="26" spans="9:18" ht="15.75" hidden="1">
      <c r="I26" s="2"/>
      <c r="J26" s="2"/>
      <c r="K26" s="2"/>
      <c r="L26" s="2"/>
      <c r="M26" s="95"/>
      <c r="N26" s="95"/>
      <c r="O26" s="95"/>
      <c r="P26" s="2"/>
      <c r="Q26" s="2"/>
      <c r="R26" s="2"/>
    </row>
    <row r="27" spans="9:18" ht="15.75" hidden="1">
      <c r="I27" s="2"/>
      <c r="J27" s="2"/>
      <c r="K27" s="2"/>
      <c r="L27" s="2"/>
      <c r="M27" s="95"/>
      <c r="N27" s="95"/>
      <c r="O27" s="95"/>
      <c r="P27" s="2"/>
      <c r="Q27" s="2"/>
      <c r="R27" s="2"/>
    </row>
    <row r="28" spans="9:18" ht="15.75" hidden="1">
      <c r="I28" s="2"/>
      <c r="J28" s="2"/>
      <c r="K28" s="2"/>
      <c r="L28" s="2"/>
      <c r="M28" s="95"/>
      <c r="N28" s="95"/>
      <c r="O28" s="95"/>
      <c r="P28" s="2"/>
      <c r="Q28" s="2"/>
      <c r="R28" s="2"/>
    </row>
    <row r="29" spans="9:18" ht="15.75" hidden="1">
      <c r="I29" s="2"/>
      <c r="J29" s="2"/>
      <c r="K29" s="2"/>
      <c r="L29" s="2"/>
      <c r="M29" s="95"/>
      <c r="N29" s="95"/>
      <c r="O29" s="95"/>
      <c r="P29" s="2"/>
      <c r="Q29" s="2"/>
      <c r="R29" s="2"/>
    </row>
    <row r="30" spans="9:18" ht="15.75" hidden="1">
      <c r="I30" s="2"/>
      <c r="J30" s="2"/>
      <c r="K30" s="2"/>
      <c r="L30" s="2"/>
      <c r="M30" s="95"/>
      <c r="N30" s="95"/>
      <c r="O30" s="95"/>
      <c r="P30" s="2"/>
      <c r="Q30" s="2"/>
      <c r="R30" s="2"/>
    </row>
    <row r="31" spans="9:18" ht="15.75" hidden="1">
      <c r="I31" s="2"/>
      <c r="J31" s="2"/>
      <c r="K31" s="2"/>
      <c r="L31" s="2"/>
      <c r="M31" s="95"/>
      <c r="N31" s="95"/>
      <c r="O31" s="95"/>
      <c r="P31" s="2"/>
      <c r="Q31" s="2"/>
      <c r="R31" s="2"/>
    </row>
    <row r="32" spans="9:18" ht="15.75" hidden="1">
      <c r="I32" s="2"/>
      <c r="J32" s="2"/>
      <c r="K32" s="2"/>
      <c r="L32" s="2"/>
      <c r="M32" s="95"/>
      <c r="N32" s="95"/>
      <c r="O32" s="95"/>
      <c r="P32" s="2"/>
      <c r="Q32" s="2"/>
      <c r="R32" s="2"/>
    </row>
    <row r="33" spans="9:18" ht="15.75" hidden="1">
      <c r="I33" s="2"/>
      <c r="J33" s="2"/>
      <c r="K33" s="2"/>
      <c r="L33" s="2"/>
      <c r="M33" s="95"/>
      <c r="N33" s="95"/>
      <c r="O33" s="95"/>
      <c r="P33" s="2"/>
      <c r="Q33" s="2"/>
      <c r="R33" s="2"/>
    </row>
    <row r="34" spans="9:18" ht="15.75" hidden="1">
      <c r="I34" s="2"/>
      <c r="J34" s="2"/>
      <c r="K34" s="2"/>
      <c r="L34" s="2"/>
      <c r="M34" s="95"/>
      <c r="N34" s="95"/>
      <c r="O34" s="95"/>
      <c r="P34" s="2"/>
      <c r="Q34" s="2"/>
      <c r="R34" s="2"/>
    </row>
    <row r="35" spans="9:18" ht="15.75" hidden="1">
      <c r="I35" s="2"/>
      <c r="J35" s="2"/>
      <c r="K35" s="2"/>
      <c r="L35" s="2"/>
      <c r="M35" s="95"/>
      <c r="N35" s="95"/>
      <c r="O35" s="95"/>
      <c r="P35" s="2"/>
      <c r="Q35" s="2"/>
      <c r="R35" s="2"/>
    </row>
    <row r="36" spans="9:18" ht="15.75" hidden="1">
      <c r="I36" s="2"/>
      <c r="J36" s="2"/>
      <c r="K36" s="2"/>
      <c r="L36" s="2"/>
      <c r="M36" s="95"/>
      <c r="N36" s="95"/>
      <c r="O36" s="95"/>
      <c r="P36" s="2"/>
      <c r="Q36" s="2"/>
      <c r="R36" s="2"/>
    </row>
    <row r="37" spans="9:18" ht="15.75" hidden="1">
      <c r="I37" s="2"/>
      <c r="J37" s="2"/>
      <c r="K37" s="2"/>
      <c r="L37" s="2"/>
      <c r="M37" s="95"/>
      <c r="N37" s="95"/>
      <c r="O37" s="95"/>
      <c r="P37" s="2"/>
      <c r="Q37" s="2"/>
      <c r="R37" s="2"/>
    </row>
    <row r="38" spans="9:18" ht="15.75" hidden="1">
      <c r="I38" s="2"/>
      <c r="J38" s="2"/>
      <c r="K38" s="2"/>
      <c r="L38" s="2"/>
      <c r="M38" s="95"/>
      <c r="N38" s="95"/>
      <c r="O38" s="95"/>
      <c r="P38" s="2"/>
      <c r="Q38" s="2"/>
      <c r="R38" s="2"/>
    </row>
    <row r="39" spans="9:18" ht="15.75" hidden="1">
      <c r="I39" s="2"/>
      <c r="J39" s="2"/>
      <c r="K39" s="2"/>
      <c r="L39" s="2"/>
      <c r="M39" s="95"/>
      <c r="N39" s="95"/>
      <c r="O39" s="95"/>
      <c r="P39" s="2"/>
      <c r="Q39" s="2"/>
      <c r="R39" s="2"/>
    </row>
    <row r="40" spans="9:18" ht="15.75" hidden="1">
      <c r="I40" s="2"/>
      <c r="J40" s="2"/>
      <c r="K40" s="2"/>
      <c r="L40" s="2"/>
      <c r="M40" s="95"/>
      <c r="N40" s="95"/>
      <c r="O40" s="95"/>
      <c r="P40" s="2"/>
      <c r="Q40" s="2"/>
      <c r="R40" s="2"/>
    </row>
    <row r="41" spans="9:18" ht="15.75" hidden="1">
      <c r="I41" s="2"/>
      <c r="J41" s="2"/>
      <c r="K41" s="2"/>
      <c r="L41" s="2"/>
      <c r="M41" s="95"/>
      <c r="N41" s="95"/>
      <c r="O41" s="95"/>
      <c r="P41" s="2"/>
      <c r="Q41" s="2"/>
      <c r="R41" s="2"/>
    </row>
    <row r="42" spans="9:18" ht="15.75" hidden="1">
      <c r="I42" s="2"/>
      <c r="J42" s="2"/>
      <c r="K42" s="2"/>
      <c r="L42" s="2"/>
      <c r="M42" s="95"/>
      <c r="N42" s="95"/>
      <c r="O42" s="95"/>
      <c r="P42" s="2"/>
      <c r="Q42" s="2"/>
      <c r="R42" s="2"/>
    </row>
    <row r="43" spans="9:18" ht="15.75" hidden="1">
      <c r="I43" s="2"/>
      <c r="J43" s="2"/>
      <c r="K43" s="2"/>
      <c r="L43" s="2"/>
      <c r="M43" s="95"/>
      <c r="N43" s="95"/>
      <c r="O43" s="95"/>
      <c r="P43" s="2"/>
      <c r="Q43" s="2"/>
      <c r="R43" s="2"/>
    </row>
    <row r="44" spans="9:18" ht="15.75" hidden="1">
      <c r="I44" s="2"/>
      <c r="J44" s="2"/>
      <c r="K44" s="2"/>
      <c r="L44" s="2"/>
      <c r="M44" s="95"/>
      <c r="N44" s="95"/>
      <c r="O44" s="95"/>
      <c r="P44" s="2"/>
      <c r="Q44" s="2"/>
      <c r="R44" s="2"/>
    </row>
    <row r="45" spans="9:18" ht="15.75" hidden="1">
      <c r="I45" s="2"/>
      <c r="J45" s="2"/>
      <c r="K45" s="2"/>
      <c r="L45" s="2"/>
      <c r="M45" s="95"/>
      <c r="N45" s="95"/>
      <c r="O45" s="95"/>
      <c r="P45" s="2"/>
      <c r="Q45" s="2"/>
      <c r="R45" s="2"/>
    </row>
    <row r="46" spans="9:18" ht="15.75" hidden="1">
      <c r="I46" s="2"/>
      <c r="J46" s="2"/>
      <c r="K46" s="2"/>
      <c r="L46" s="2"/>
      <c r="M46" s="95"/>
      <c r="N46" s="95"/>
      <c r="O46" s="95"/>
      <c r="P46" s="2"/>
      <c r="Q46" s="2"/>
      <c r="R46" s="2"/>
    </row>
    <row r="47" spans="9:18" ht="15.75" hidden="1">
      <c r="I47" s="2"/>
      <c r="J47" s="2"/>
      <c r="K47" s="2"/>
      <c r="L47" s="2"/>
      <c r="M47" s="95"/>
      <c r="N47" s="95"/>
      <c r="O47" s="95"/>
      <c r="P47" s="2"/>
      <c r="Q47" s="2"/>
      <c r="R47" s="2"/>
    </row>
    <row r="48" spans="9:18" ht="15.75" hidden="1">
      <c r="I48" s="2"/>
      <c r="J48" s="2"/>
      <c r="K48" s="2"/>
      <c r="L48" s="2"/>
      <c r="M48" s="95"/>
      <c r="N48" s="95"/>
      <c r="O48" s="95"/>
      <c r="P48" s="2"/>
      <c r="Q48" s="2"/>
      <c r="R48" s="2"/>
    </row>
    <row r="49" spans="1:18" ht="15.75" hidden="1">
      <c r="I49" s="2"/>
      <c r="J49" s="2"/>
      <c r="K49" s="2"/>
      <c r="L49" s="2"/>
      <c r="M49" s="95"/>
      <c r="N49" s="95"/>
      <c r="O49" s="95"/>
      <c r="P49" s="2"/>
      <c r="Q49" s="2"/>
      <c r="R49" s="2"/>
    </row>
    <row r="50" spans="1:18" ht="15.75" hidden="1">
      <c r="I50" s="2"/>
      <c r="J50" s="2"/>
      <c r="K50" s="2"/>
      <c r="L50" s="2"/>
      <c r="M50" s="95"/>
      <c r="N50" s="95"/>
      <c r="O50" s="95"/>
      <c r="P50" s="2"/>
      <c r="Q50" s="2"/>
      <c r="R50" s="2"/>
    </row>
    <row r="51" spans="1:18" ht="15.75" hidden="1">
      <c r="I51" s="2"/>
      <c r="J51" s="2"/>
      <c r="K51" s="2"/>
      <c r="L51" s="2"/>
      <c r="M51" s="95"/>
      <c r="N51" s="95"/>
      <c r="O51" s="95"/>
      <c r="P51" s="2"/>
      <c r="Q51" s="2"/>
      <c r="R51" s="2"/>
    </row>
    <row r="52" spans="1:18" ht="15.75" hidden="1">
      <c r="I52" s="2"/>
      <c r="J52" s="2"/>
      <c r="K52" s="2"/>
      <c r="L52" s="2"/>
      <c r="M52" s="95"/>
      <c r="N52" s="95"/>
      <c r="O52" s="95"/>
      <c r="P52" s="2"/>
      <c r="Q52" s="2"/>
      <c r="R52" s="2"/>
    </row>
    <row r="53" spans="1:18" ht="15.75" hidden="1">
      <c r="I53" s="2"/>
      <c r="J53" s="2"/>
      <c r="K53" s="2"/>
      <c r="L53" s="2"/>
      <c r="M53" s="95"/>
      <c r="N53" s="95"/>
      <c r="O53" s="95"/>
      <c r="P53" s="2"/>
      <c r="Q53" s="2"/>
      <c r="R53" s="2"/>
    </row>
    <row r="54" spans="1:18" ht="15.75" hidden="1">
      <c r="I54" s="2"/>
      <c r="J54" s="2"/>
      <c r="K54" s="2"/>
      <c r="L54" s="2"/>
      <c r="M54" s="95"/>
      <c r="N54" s="95"/>
      <c r="O54" s="95"/>
      <c r="P54" s="2"/>
      <c r="Q54" s="2"/>
      <c r="R54" s="2"/>
    </row>
    <row r="55" spans="1:18" ht="15.75" hidden="1">
      <c r="I55" s="2"/>
      <c r="J55" s="2"/>
      <c r="K55" s="2"/>
      <c r="L55" s="2"/>
      <c r="M55" s="95"/>
      <c r="N55" s="95"/>
      <c r="O55" s="95"/>
      <c r="P55" s="2"/>
      <c r="Q55" s="2"/>
      <c r="R55" s="2"/>
    </row>
    <row r="56" spans="1:18" ht="15.75" hidden="1">
      <c r="I56" s="2"/>
      <c r="J56" s="2"/>
      <c r="K56" s="2"/>
      <c r="L56" s="2"/>
      <c r="M56" s="95"/>
      <c r="N56" s="95"/>
      <c r="O56" s="95"/>
      <c r="P56" s="2"/>
      <c r="Q56" s="2"/>
      <c r="R56" s="2"/>
    </row>
    <row r="57" spans="1:18" ht="15.75" hidden="1">
      <c r="I57" s="2"/>
      <c r="J57" s="2"/>
      <c r="K57" s="2"/>
      <c r="L57" s="2"/>
      <c r="M57" s="95"/>
      <c r="N57" s="95"/>
      <c r="O57" s="95"/>
      <c r="P57" s="2"/>
      <c r="Q57" s="2"/>
      <c r="R57" s="2"/>
    </row>
    <row r="58" spans="1:18" ht="15.75" hidden="1">
      <c r="I58" s="2"/>
      <c r="J58" s="2"/>
      <c r="K58" s="2"/>
      <c r="L58" s="2"/>
      <c r="M58" s="95"/>
      <c r="N58" s="95"/>
      <c r="O58" s="95"/>
      <c r="P58" s="2"/>
      <c r="Q58" s="2"/>
      <c r="R58" s="2"/>
    </row>
    <row r="59" spans="1:18" ht="15.75" hidden="1">
      <c r="I59" s="2"/>
      <c r="J59" s="2"/>
      <c r="K59" s="2"/>
      <c r="L59" s="2"/>
      <c r="M59" s="95"/>
      <c r="N59" s="95"/>
      <c r="O59" s="95"/>
      <c r="P59" s="2"/>
      <c r="Q59" s="2"/>
      <c r="R59" s="2"/>
    </row>
    <row r="60" spans="1:18" ht="16.350000000000001" customHeight="1">
      <c r="I60" s="2"/>
      <c r="J60" s="2" t="s">
        <v>329</v>
      </c>
      <c r="K60" s="2"/>
      <c r="L60" s="2"/>
      <c r="M60" s="95"/>
      <c r="N60" s="95"/>
      <c r="O60" s="95"/>
      <c r="P60" s="2"/>
      <c r="Q60" s="2"/>
      <c r="R60" s="2"/>
    </row>
    <row r="61" spans="1:18" ht="16.350000000000001" customHeight="1">
      <c r="I61" s="2"/>
      <c r="J61" s="2"/>
      <c r="K61" s="2"/>
      <c r="L61" s="2"/>
      <c r="M61" s="95"/>
      <c r="N61" s="95"/>
      <c r="O61" s="95"/>
      <c r="P61" s="2"/>
      <c r="Q61" s="2"/>
      <c r="R61" s="2"/>
    </row>
    <row r="62" spans="1:18" ht="30" customHeight="1">
      <c r="A62"/>
      <c r="B62" s="5"/>
      <c r="C62" s="5"/>
      <c r="D62" s="5"/>
      <c r="E62" s="5"/>
      <c r="F62" s="5"/>
      <c r="G62" s="5"/>
      <c r="H62" s="6"/>
      <c r="I62" s="2" t="s">
        <v>347</v>
      </c>
      <c r="J62" s="40"/>
      <c r="K62" s="2"/>
      <c r="L62" s="2"/>
      <c r="M62" s="95"/>
      <c r="N62" s="95"/>
      <c r="O62" s="95"/>
      <c r="P62" s="2"/>
      <c r="Q62" s="2"/>
      <c r="R62" s="2"/>
    </row>
    <row r="63" spans="1:18" ht="15.75">
      <c r="A63" s="2"/>
      <c r="B63" s="5"/>
      <c r="C63" s="5"/>
      <c r="D63" s="5"/>
      <c r="E63" s="5"/>
      <c r="F63" s="5"/>
      <c r="G63" s="5"/>
      <c r="H63" s="6"/>
      <c r="I63" s="2"/>
      <c r="J63" s="2"/>
      <c r="K63" s="2"/>
      <c r="L63" s="2"/>
      <c r="M63" s="95"/>
      <c r="N63" s="95"/>
      <c r="O63" s="95"/>
      <c r="P63" s="2"/>
      <c r="Q63" s="2"/>
      <c r="R63" s="2"/>
    </row>
    <row r="64" spans="1:18" ht="15.75">
      <c r="A64" s="7" t="s">
        <v>24</v>
      </c>
      <c r="B64" s="364" t="s">
        <v>25</v>
      </c>
      <c r="C64" s="364"/>
      <c r="D64" s="364"/>
      <c r="E64" s="364"/>
      <c r="F64" s="364"/>
      <c r="G64" s="364"/>
      <c r="H64" s="364"/>
      <c r="I64" s="15" t="s">
        <v>1</v>
      </c>
      <c r="J64" s="15"/>
      <c r="K64" s="16"/>
      <c r="L64" s="16"/>
      <c r="M64" s="159"/>
      <c r="N64" s="160" t="s">
        <v>331</v>
      </c>
      <c r="O64" s="160" t="s">
        <v>332</v>
      </c>
      <c r="P64" s="18"/>
      <c r="Q64" s="2"/>
      <c r="R64" s="2"/>
    </row>
    <row r="65" spans="1:18" ht="15.75">
      <c r="A65" s="7" t="s">
        <v>26</v>
      </c>
      <c r="B65" s="364" t="s">
        <v>13</v>
      </c>
      <c r="C65" s="364"/>
      <c r="D65" s="364"/>
      <c r="E65" s="364"/>
      <c r="F65" s="364"/>
      <c r="G65" s="364"/>
      <c r="H65" s="364"/>
      <c r="I65" s="15"/>
      <c r="J65" s="15"/>
      <c r="K65" s="17" t="s">
        <v>2</v>
      </c>
      <c r="L65" s="17"/>
      <c r="M65" s="160" t="s">
        <v>2</v>
      </c>
      <c r="N65" s="160" t="s">
        <v>4</v>
      </c>
      <c r="O65" s="160" t="s">
        <v>2</v>
      </c>
      <c r="P65" s="19" t="s">
        <v>3</v>
      </c>
      <c r="Q65" s="81"/>
      <c r="R65" s="81"/>
    </row>
    <row r="66" spans="1:18" ht="15.75">
      <c r="A66" s="7" t="s">
        <v>27</v>
      </c>
      <c r="B66" s="8">
        <v>1</v>
      </c>
      <c r="C66" s="8">
        <v>2</v>
      </c>
      <c r="D66" s="8">
        <v>3</v>
      </c>
      <c r="E66" s="9">
        <v>4</v>
      </c>
      <c r="F66" s="8">
        <v>5</v>
      </c>
      <c r="G66" s="8">
        <v>6</v>
      </c>
      <c r="H66" s="8">
        <v>7</v>
      </c>
      <c r="I66" s="15" t="s">
        <v>5</v>
      </c>
      <c r="J66" s="15" t="s">
        <v>28</v>
      </c>
      <c r="K66" s="20" t="s">
        <v>6</v>
      </c>
      <c r="L66" s="20"/>
      <c r="M66" s="161" t="s">
        <v>177</v>
      </c>
      <c r="N66" s="161" t="s">
        <v>177</v>
      </c>
      <c r="O66" s="211" t="s">
        <v>177</v>
      </c>
      <c r="P66" s="20" t="s">
        <v>7</v>
      </c>
      <c r="Q66" s="82"/>
      <c r="R66" s="82"/>
    </row>
    <row r="67" spans="1:18" ht="17.25" customHeight="1">
      <c r="A67" s="10"/>
      <c r="B67" s="10"/>
      <c r="C67" s="10"/>
      <c r="D67" s="10"/>
      <c r="E67" s="10"/>
      <c r="F67" s="10"/>
      <c r="G67" s="10"/>
      <c r="H67" s="10"/>
      <c r="I67" s="368" t="s">
        <v>29</v>
      </c>
      <c r="J67" s="368"/>
      <c r="K67" s="21" t="e">
        <f>K68+K112+#REF!+K241+K421+#REF!</f>
        <v>#REF!</v>
      </c>
      <c r="L67" s="21"/>
      <c r="M67" s="89">
        <f>M68+M112+M241+M421</f>
        <v>8007459.8199999984</v>
      </c>
      <c r="N67" s="89">
        <f>N68+N112+N241+N421</f>
        <v>-2484866.73</v>
      </c>
      <c r="O67" s="89">
        <f t="shared" ref="O67:O70" si="0">M67+N67</f>
        <v>5522593.089999998</v>
      </c>
      <c r="P67" s="80" t="e">
        <f>M67/K67*100</f>
        <v>#REF!</v>
      </c>
      <c r="Q67" s="83"/>
      <c r="R67" s="83"/>
    </row>
    <row r="68" spans="1:18" ht="25.5" customHeight="1">
      <c r="A68" s="11"/>
      <c r="B68" s="11"/>
      <c r="C68" s="11"/>
      <c r="D68" s="11"/>
      <c r="E68" s="11"/>
      <c r="F68" s="11"/>
      <c r="G68" s="11"/>
      <c r="H68" s="11"/>
      <c r="I68" s="22" t="s">
        <v>30</v>
      </c>
      <c r="J68" s="22" t="s">
        <v>31</v>
      </c>
      <c r="K68" s="23" t="e">
        <f>K69</f>
        <v>#REF!</v>
      </c>
      <c r="L68" s="23"/>
      <c r="M68" s="162">
        <f>M69</f>
        <v>776457.30999999994</v>
      </c>
      <c r="N68" s="162">
        <f>N69</f>
        <v>-222779.23000000004</v>
      </c>
      <c r="O68" s="162">
        <f t="shared" si="0"/>
        <v>553678.07999999984</v>
      </c>
      <c r="P68" s="73" t="e">
        <f>M68/K68*100</f>
        <v>#REF!</v>
      </c>
      <c r="Q68" s="83"/>
      <c r="R68" s="83"/>
    </row>
    <row r="69" spans="1:18" ht="30" customHeight="1">
      <c r="A69" s="8"/>
      <c r="B69" s="8"/>
      <c r="C69" s="8"/>
      <c r="D69" s="8"/>
      <c r="E69" s="8"/>
      <c r="F69" s="8"/>
      <c r="G69" s="8"/>
      <c r="H69" s="8"/>
      <c r="I69" s="25" t="s">
        <v>32</v>
      </c>
      <c r="J69" s="25" t="s">
        <v>140</v>
      </c>
      <c r="K69" s="16" t="e">
        <f>K70+K106</f>
        <v>#REF!</v>
      </c>
      <c r="L69" s="16"/>
      <c r="M69" s="163">
        <f>M70+M106</f>
        <v>776457.30999999994</v>
      </c>
      <c r="N69" s="163">
        <f>N70+N106</f>
        <v>-222779.23000000004</v>
      </c>
      <c r="O69" s="163">
        <f t="shared" si="0"/>
        <v>553678.07999999984</v>
      </c>
      <c r="P69" s="74" t="e">
        <f>M69/K69*100</f>
        <v>#REF!</v>
      </c>
      <c r="Q69" s="83"/>
      <c r="R69" s="83"/>
    </row>
    <row r="70" spans="1:18" ht="16.5" customHeight="1">
      <c r="A70" s="11"/>
      <c r="B70" s="11"/>
      <c r="C70" s="11"/>
      <c r="D70" s="11"/>
      <c r="E70" s="11"/>
      <c r="F70" s="11"/>
      <c r="G70" s="11"/>
      <c r="H70" s="11"/>
      <c r="I70" s="22" t="s">
        <v>33</v>
      </c>
      <c r="J70" s="22" t="s">
        <v>34</v>
      </c>
      <c r="K70" s="23" t="e">
        <f>K71+K91</f>
        <v>#REF!</v>
      </c>
      <c r="L70" s="23"/>
      <c r="M70" s="162">
        <f>M71+M91</f>
        <v>772873.84</v>
      </c>
      <c r="N70" s="162">
        <f>N71+N91</f>
        <v>-222779.23000000004</v>
      </c>
      <c r="O70" s="162">
        <f t="shared" si="0"/>
        <v>550094.60999999987</v>
      </c>
      <c r="P70" s="73" t="e">
        <f>M70/K70*100</f>
        <v>#REF!</v>
      </c>
      <c r="Q70" s="83"/>
      <c r="R70" s="83"/>
    </row>
    <row r="71" spans="1:18" ht="15.75">
      <c r="A71" s="8"/>
      <c r="B71" s="8"/>
      <c r="C71" s="8"/>
      <c r="D71" s="8"/>
      <c r="E71" s="8"/>
      <c r="F71" s="8"/>
      <c r="G71" s="8"/>
      <c r="H71" s="8"/>
      <c r="I71" s="25" t="s">
        <v>35</v>
      </c>
      <c r="J71" s="25" t="s">
        <v>36</v>
      </c>
      <c r="K71" s="16" t="e">
        <f>K75</f>
        <v>#REF!</v>
      </c>
      <c r="L71" s="16"/>
      <c r="M71" s="163">
        <f>M72</f>
        <v>752012.55999999994</v>
      </c>
      <c r="N71" s="163">
        <f>N72</f>
        <v>-222779.23000000004</v>
      </c>
      <c r="O71" s="163">
        <f>M71+N71</f>
        <v>529233.32999999984</v>
      </c>
      <c r="P71" s="74" t="e">
        <f>M71/K71*100</f>
        <v>#REF!</v>
      </c>
      <c r="Q71" s="83"/>
      <c r="R71" s="83"/>
    </row>
    <row r="72" spans="1:18" ht="15" customHeight="1">
      <c r="A72" s="12"/>
      <c r="B72" s="12"/>
      <c r="C72" s="12"/>
      <c r="D72" s="12"/>
      <c r="E72" s="12"/>
      <c r="F72" s="12"/>
      <c r="G72" s="12"/>
      <c r="H72" s="12"/>
      <c r="I72" s="114" t="s">
        <v>37</v>
      </c>
      <c r="J72" s="115"/>
      <c r="K72" s="116"/>
      <c r="L72" s="116"/>
      <c r="M72" s="164">
        <f>M74+M88</f>
        <v>752012.55999999994</v>
      </c>
      <c r="N72" s="164">
        <f>N74+N88</f>
        <v>-222779.23000000004</v>
      </c>
      <c r="O72" s="164">
        <f>M72+N72</f>
        <v>529233.32999999984</v>
      </c>
      <c r="P72" s="75"/>
      <c r="Q72" s="83"/>
      <c r="R72" s="83"/>
    </row>
    <row r="73" spans="1:18" ht="15.75" hidden="1">
      <c r="A73" s="12"/>
      <c r="B73" s="12"/>
      <c r="C73" s="12"/>
      <c r="D73" s="12"/>
      <c r="E73" s="12"/>
      <c r="F73" s="12"/>
      <c r="G73" s="12"/>
      <c r="H73" s="12"/>
      <c r="I73" s="27"/>
      <c r="J73" s="28"/>
      <c r="K73" s="29"/>
      <c r="L73" s="29"/>
      <c r="M73" s="165"/>
      <c r="N73" s="165"/>
      <c r="O73" s="165"/>
      <c r="P73" s="75"/>
      <c r="Q73" s="83"/>
      <c r="R73" s="83"/>
    </row>
    <row r="74" spans="1:18" ht="15.75">
      <c r="A74" s="12"/>
      <c r="B74" s="12"/>
      <c r="C74" s="12"/>
      <c r="D74" s="12"/>
      <c r="E74" s="12"/>
      <c r="F74" s="12"/>
      <c r="G74" s="12"/>
      <c r="H74" s="12"/>
      <c r="I74" s="55"/>
      <c r="J74" s="56" t="s">
        <v>312</v>
      </c>
      <c r="K74" s="57"/>
      <c r="L74" s="57"/>
      <c r="M74" s="166">
        <f>M75+M86+M84</f>
        <v>680287.34</v>
      </c>
      <c r="N74" s="166">
        <f>N75+N86+N84</f>
        <v>-326912.96000000002</v>
      </c>
      <c r="O74" s="166">
        <f>M74+N74</f>
        <v>353374.37999999995</v>
      </c>
      <c r="P74" s="75"/>
      <c r="Q74" s="83"/>
      <c r="R74" s="83"/>
    </row>
    <row r="75" spans="1:18" s="14" customFormat="1" ht="15.75">
      <c r="A75" s="13"/>
      <c r="B75" s="13"/>
      <c r="C75" s="13"/>
      <c r="D75" s="13"/>
      <c r="E75" s="13"/>
      <c r="F75" s="13"/>
      <c r="G75" s="13"/>
      <c r="H75" s="13"/>
      <c r="I75" s="35">
        <v>3</v>
      </c>
      <c r="J75" s="36" t="s">
        <v>10</v>
      </c>
      <c r="K75" s="37" t="e">
        <f>#REF!</f>
        <v>#REF!</v>
      </c>
      <c r="L75" s="37"/>
      <c r="M75" s="167">
        <f>M76+M77+M81+M82+M83</f>
        <v>561682.36</v>
      </c>
      <c r="N75" s="167">
        <f>N76+N77+N82+N83+N81</f>
        <v>-241687.74000000002</v>
      </c>
      <c r="O75" s="167">
        <f>M75+N75</f>
        <v>319994.62</v>
      </c>
      <c r="P75" s="76" t="e">
        <f>M75/K75*100</f>
        <v>#REF!</v>
      </c>
      <c r="Q75" s="38"/>
      <c r="R75" s="38"/>
    </row>
    <row r="76" spans="1:18" s="36" customFormat="1" ht="15.75">
      <c r="I76" s="35">
        <v>31</v>
      </c>
      <c r="J76" s="36" t="s">
        <v>16</v>
      </c>
      <c r="K76" s="37" t="e">
        <f>#REF!+#REF!+#REF!</f>
        <v>#REF!</v>
      </c>
      <c r="L76" s="37"/>
      <c r="M76" s="168">
        <v>29870</v>
      </c>
      <c r="N76" s="192">
        <v>0</v>
      </c>
      <c r="O76" s="167">
        <f>M76+N76</f>
        <v>29870</v>
      </c>
      <c r="P76" s="38" t="e">
        <f>M76/K76*100</f>
        <v>#REF!</v>
      </c>
      <c r="Q76" s="38"/>
      <c r="R76" s="38"/>
    </row>
    <row r="77" spans="1:18" s="36" customFormat="1" ht="15.75">
      <c r="I77" s="35">
        <v>32</v>
      </c>
      <c r="J77" s="36" t="s">
        <v>17</v>
      </c>
      <c r="K77" s="37" t="e">
        <f>#REF!+#REF!+#REF!+#REF!+#REF!</f>
        <v>#REF!</v>
      </c>
      <c r="L77" s="37"/>
      <c r="M77" s="167">
        <v>191994.64</v>
      </c>
      <c r="N77" s="167">
        <v>77429.23</v>
      </c>
      <c r="O77" s="167">
        <f>M77+N77</f>
        <v>269423.87</v>
      </c>
      <c r="P77" s="38" t="e">
        <f>M77/K77*100</f>
        <v>#REF!</v>
      </c>
      <c r="Q77" s="38"/>
      <c r="R77" s="38"/>
    </row>
    <row r="78" spans="1:18" s="65" customFormat="1" ht="7.5" hidden="1" customHeight="1">
      <c r="I78" s="66"/>
      <c r="J78" s="67"/>
      <c r="K78" s="68"/>
      <c r="L78" s="68"/>
      <c r="M78" s="169"/>
      <c r="N78" s="200"/>
      <c r="O78" s="200"/>
      <c r="P78" s="70"/>
      <c r="Q78" s="70"/>
      <c r="R78" s="70"/>
    </row>
    <row r="79" spans="1:18" s="65" customFormat="1" ht="15.75" hidden="1">
      <c r="I79" s="71"/>
      <c r="K79" s="72"/>
      <c r="L79" s="72"/>
      <c r="M79" s="170"/>
      <c r="N79" s="201"/>
      <c r="O79" s="201"/>
      <c r="P79" s="69"/>
      <c r="Q79" s="69"/>
      <c r="R79" s="69"/>
    </row>
    <row r="80" spans="1:18" s="65" customFormat="1" ht="15.75" hidden="1">
      <c r="I80" s="66"/>
      <c r="J80" s="67"/>
      <c r="K80" s="68"/>
      <c r="L80" s="68"/>
      <c r="M80" s="169"/>
      <c r="N80" s="200"/>
      <c r="O80" s="200"/>
      <c r="P80" s="69"/>
      <c r="Q80" s="69"/>
      <c r="R80" s="69"/>
    </row>
    <row r="81" spans="1:18" s="65" customFormat="1" ht="15.75">
      <c r="I81" s="71">
        <v>35</v>
      </c>
      <c r="J81" s="65" t="s">
        <v>165</v>
      </c>
      <c r="K81" s="72"/>
      <c r="L81" s="72"/>
      <c r="M81" s="170">
        <v>1990.84</v>
      </c>
      <c r="N81" s="170">
        <v>17117.23</v>
      </c>
      <c r="O81" s="170">
        <f>M81+N81</f>
        <v>19108.07</v>
      </c>
      <c r="P81" s="69"/>
      <c r="Q81" s="69"/>
      <c r="R81" s="69"/>
    </row>
    <row r="82" spans="1:18" s="65" customFormat="1" ht="15.75">
      <c r="I82" s="71">
        <v>36</v>
      </c>
      <c r="J82" s="65" t="s">
        <v>124</v>
      </c>
      <c r="K82" s="72"/>
      <c r="L82" s="72"/>
      <c r="M82" s="118">
        <v>1592.68</v>
      </c>
      <c r="N82" s="202">
        <v>0</v>
      </c>
      <c r="O82" s="202">
        <f>M82+N82</f>
        <v>1592.68</v>
      </c>
      <c r="P82" s="69"/>
      <c r="Q82" s="69"/>
      <c r="R82" s="69"/>
    </row>
    <row r="83" spans="1:18" s="65" customFormat="1" ht="15.75">
      <c r="I83" s="71">
        <v>38</v>
      </c>
      <c r="J83" s="96" t="s">
        <v>275</v>
      </c>
      <c r="K83" s="68"/>
      <c r="L83" s="68"/>
      <c r="M83" s="170">
        <v>336234.2</v>
      </c>
      <c r="N83" s="202">
        <v>-336234.2</v>
      </c>
      <c r="O83" s="202">
        <f>M83+N83</f>
        <v>0</v>
      </c>
      <c r="P83" s="69"/>
      <c r="Q83" s="69"/>
      <c r="R83" s="69"/>
    </row>
    <row r="84" spans="1:18" s="65" customFormat="1" ht="15.75">
      <c r="I84" s="71">
        <v>4</v>
      </c>
      <c r="J84" s="65" t="s">
        <v>11</v>
      </c>
      <c r="K84" s="72"/>
      <c r="L84" s="72"/>
      <c r="M84" s="118">
        <f>SUM(M85)</f>
        <v>46879.76</v>
      </c>
      <c r="N84" s="270">
        <f>N85</f>
        <v>-13500</v>
      </c>
      <c r="O84" s="241">
        <f>O85</f>
        <v>33379.760000000002</v>
      </c>
      <c r="P84" s="69"/>
      <c r="Q84" s="69"/>
      <c r="R84" s="69"/>
    </row>
    <row r="85" spans="1:18" s="65" customFormat="1" ht="15.75">
      <c r="I85" s="71">
        <v>42</v>
      </c>
      <c r="J85" s="65" t="s">
        <v>20</v>
      </c>
      <c r="K85" s="72"/>
      <c r="L85" s="72"/>
      <c r="M85" s="118">
        <v>46879.76</v>
      </c>
      <c r="N85" s="270">
        <v>-13500</v>
      </c>
      <c r="O85" s="270">
        <f>M85+N85</f>
        <v>33379.760000000002</v>
      </c>
      <c r="P85" s="69"/>
      <c r="Q85" s="69"/>
      <c r="R85" s="69"/>
    </row>
    <row r="86" spans="1:18" s="65" customFormat="1" ht="15.75">
      <c r="I86" s="71">
        <v>5</v>
      </c>
      <c r="J86" s="36" t="s">
        <v>159</v>
      </c>
      <c r="K86" s="72"/>
      <c r="L86" s="72"/>
      <c r="M86" s="118">
        <f>M87</f>
        <v>71725.22</v>
      </c>
      <c r="N86" s="262">
        <f>N87</f>
        <v>-71725.22</v>
      </c>
      <c r="O86" s="273">
        <f>O87</f>
        <v>0</v>
      </c>
      <c r="P86" s="69"/>
      <c r="Q86" s="69"/>
      <c r="R86" s="69"/>
    </row>
    <row r="87" spans="1:18" s="65" customFormat="1" ht="15.75">
      <c r="I87" s="71">
        <v>54</v>
      </c>
      <c r="J87" s="36" t="s">
        <v>160</v>
      </c>
      <c r="K87" s="72"/>
      <c r="L87" s="72"/>
      <c r="M87" s="118">
        <v>71725.22</v>
      </c>
      <c r="N87" s="262">
        <v>-71725.22</v>
      </c>
      <c r="O87" s="263">
        <f t="shared" ref="O87:O95" si="1">M87+N87</f>
        <v>0</v>
      </c>
      <c r="P87" s="69"/>
      <c r="Q87" s="69"/>
      <c r="R87" s="69"/>
    </row>
    <row r="88" spans="1:18" ht="31.5">
      <c r="A88" s="12"/>
      <c r="B88" s="12"/>
      <c r="C88" s="12"/>
      <c r="D88" s="12"/>
      <c r="E88" s="12"/>
      <c r="F88" s="12"/>
      <c r="G88" s="12"/>
      <c r="H88" s="12"/>
      <c r="I88" s="55"/>
      <c r="J88" s="56" t="s">
        <v>306</v>
      </c>
      <c r="K88" s="57"/>
      <c r="L88" s="57"/>
      <c r="M88" s="166">
        <f>M89</f>
        <v>71725.22</v>
      </c>
      <c r="N88" s="166">
        <f>N89</f>
        <v>104133.73</v>
      </c>
      <c r="O88" s="166">
        <f>M88+N88</f>
        <v>175858.95</v>
      </c>
      <c r="P88" s="75"/>
      <c r="Q88" s="83"/>
      <c r="R88" s="83"/>
    </row>
    <row r="89" spans="1:18" ht="15.75">
      <c r="A89" s="12"/>
      <c r="B89" s="12"/>
      <c r="C89" s="12"/>
      <c r="D89" s="12"/>
      <c r="E89" s="12"/>
      <c r="F89" s="12"/>
      <c r="G89" s="12"/>
      <c r="H89" s="12"/>
      <c r="I89" s="101">
        <v>3</v>
      </c>
      <c r="J89" s="99" t="s">
        <v>10</v>
      </c>
      <c r="K89" s="100"/>
      <c r="L89" s="100"/>
      <c r="M89" s="178">
        <f>M90</f>
        <v>71725.22</v>
      </c>
      <c r="N89" s="178">
        <f>N90</f>
        <v>104133.73</v>
      </c>
      <c r="O89" s="178">
        <f>M89+N89</f>
        <v>175858.95</v>
      </c>
      <c r="P89" s="75"/>
      <c r="Q89" s="83"/>
      <c r="R89" s="83"/>
    </row>
    <row r="90" spans="1:18" ht="15.75">
      <c r="A90" s="12"/>
      <c r="B90" s="12"/>
      <c r="C90" s="12"/>
      <c r="D90" s="12"/>
      <c r="E90" s="12"/>
      <c r="F90" s="12"/>
      <c r="G90" s="12"/>
      <c r="H90" s="12"/>
      <c r="I90" s="101">
        <v>38</v>
      </c>
      <c r="J90" s="99" t="s">
        <v>275</v>
      </c>
      <c r="K90" s="100"/>
      <c r="L90" s="100"/>
      <c r="M90" s="178">
        <v>71725.22</v>
      </c>
      <c r="N90" s="178">
        <v>104133.73</v>
      </c>
      <c r="O90" s="178">
        <f t="shared" si="1"/>
        <v>175858.95</v>
      </c>
      <c r="P90" s="75"/>
      <c r="Q90" s="83"/>
      <c r="R90" s="83"/>
    </row>
    <row r="91" spans="1:18" s="2" customFormat="1" ht="15.75">
      <c r="A91" s="18"/>
      <c r="B91" s="18"/>
      <c r="C91" s="18"/>
      <c r="D91" s="18"/>
      <c r="E91" s="18"/>
      <c r="F91" s="18"/>
      <c r="G91" s="18"/>
      <c r="H91" s="18"/>
      <c r="I91" s="25" t="s">
        <v>38</v>
      </c>
      <c r="J91" s="25" t="s">
        <v>162</v>
      </c>
      <c r="K91" s="16" t="e">
        <f>K94</f>
        <v>#REF!</v>
      </c>
      <c r="L91" s="16"/>
      <c r="M91" s="163">
        <f>M92</f>
        <v>20861.28</v>
      </c>
      <c r="N91" s="163">
        <f>N92</f>
        <v>0</v>
      </c>
      <c r="O91" s="163">
        <f t="shared" si="1"/>
        <v>20861.28</v>
      </c>
      <c r="P91" s="26"/>
      <c r="Q91" s="83"/>
      <c r="R91" s="83"/>
    </row>
    <row r="92" spans="1:18" s="2" customFormat="1" ht="15.75">
      <c r="A92" s="45"/>
      <c r="B92" s="45"/>
      <c r="C92" s="45"/>
      <c r="D92" s="45"/>
      <c r="E92" s="45"/>
      <c r="F92" s="45"/>
      <c r="G92" s="45"/>
      <c r="H92" s="45"/>
      <c r="I92" s="114" t="s">
        <v>37</v>
      </c>
      <c r="J92" s="115"/>
      <c r="K92" s="116"/>
      <c r="L92" s="116"/>
      <c r="M92" s="164">
        <f>M93+M99</f>
        <v>20861.28</v>
      </c>
      <c r="N92" s="164">
        <f>N93+N99</f>
        <v>0</v>
      </c>
      <c r="O92" s="164">
        <f t="shared" si="1"/>
        <v>20861.28</v>
      </c>
      <c r="P92" s="30"/>
      <c r="Q92" s="83"/>
      <c r="R92" s="83"/>
    </row>
    <row r="93" spans="1:18" s="2" customFormat="1" ht="15.75">
      <c r="A93" s="45"/>
      <c r="B93" s="45"/>
      <c r="C93" s="45"/>
      <c r="D93" s="45"/>
      <c r="E93" s="45"/>
      <c r="F93" s="45"/>
      <c r="G93" s="45"/>
      <c r="H93" s="45"/>
      <c r="I93" s="55"/>
      <c r="J93" s="56" t="s">
        <v>313</v>
      </c>
      <c r="K93" s="57"/>
      <c r="L93" s="57"/>
      <c r="M93" s="166">
        <f>M94</f>
        <v>12067.08</v>
      </c>
      <c r="N93" s="166">
        <f>N94</f>
        <v>0</v>
      </c>
      <c r="O93" s="166">
        <f t="shared" si="1"/>
        <v>12067.08</v>
      </c>
      <c r="P93" s="30"/>
      <c r="Q93" s="83"/>
      <c r="R93" s="83"/>
    </row>
    <row r="94" spans="1:18" s="36" customFormat="1" ht="15.75">
      <c r="I94" s="35">
        <v>3</v>
      </c>
      <c r="J94" s="36" t="s">
        <v>10</v>
      </c>
      <c r="K94" s="37" t="e">
        <f>K95</f>
        <v>#REF!</v>
      </c>
      <c r="L94" s="37"/>
      <c r="M94" s="167">
        <f>M95</f>
        <v>12067.08</v>
      </c>
      <c r="N94" s="167">
        <f t="shared" ref="N94" si="2">N95</f>
        <v>0</v>
      </c>
      <c r="O94" s="167">
        <f t="shared" si="1"/>
        <v>12067.08</v>
      </c>
      <c r="P94" s="38"/>
      <c r="Q94" s="38"/>
      <c r="R94" s="38"/>
    </row>
    <row r="95" spans="1:18" s="36" customFormat="1" ht="15.75">
      <c r="I95" s="35">
        <v>32</v>
      </c>
      <c r="J95" s="36" t="s">
        <v>17</v>
      </c>
      <c r="K95" s="37" t="e">
        <f>#REF!</f>
        <v>#REF!</v>
      </c>
      <c r="L95" s="37"/>
      <c r="M95" s="167">
        <v>12067.08</v>
      </c>
      <c r="N95" s="167">
        <v>0</v>
      </c>
      <c r="O95" s="167">
        <f t="shared" si="1"/>
        <v>12067.08</v>
      </c>
      <c r="P95" s="38"/>
      <c r="Q95" s="38"/>
      <c r="R95" s="38"/>
    </row>
    <row r="96" spans="1:18" s="36" customFormat="1" ht="15.75" hidden="1">
      <c r="I96" s="35"/>
      <c r="K96" s="37"/>
      <c r="L96" s="37"/>
      <c r="M96" s="167"/>
      <c r="N96" s="203"/>
      <c r="O96" s="203"/>
      <c r="P96" s="38"/>
      <c r="Q96" s="38"/>
      <c r="R96" s="38"/>
    </row>
    <row r="97" spans="1:18" s="2" customFormat="1" ht="7.5" hidden="1" customHeight="1">
      <c r="A97" s="43"/>
      <c r="B97" s="43"/>
      <c r="C97" s="43"/>
      <c r="D97" s="43"/>
      <c r="E97" s="43"/>
      <c r="F97" s="43"/>
      <c r="G97" s="43"/>
      <c r="H97" s="43"/>
      <c r="I97" s="44"/>
      <c r="J97" s="44"/>
      <c r="K97" s="44"/>
      <c r="L97" s="44"/>
      <c r="M97" s="171"/>
      <c r="N97" s="172"/>
      <c r="O97" s="172"/>
      <c r="P97" s="44"/>
      <c r="Q97" s="44"/>
      <c r="R97" s="44"/>
    </row>
    <row r="98" spans="1:18" s="2" customFormat="1" ht="7.5" customHeight="1">
      <c r="A98" s="43"/>
      <c r="B98" s="43"/>
      <c r="C98" s="43"/>
      <c r="D98" s="43"/>
      <c r="E98" s="43"/>
      <c r="F98" s="43"/>
      <c r="G98" s="43"/>
      <c r="H98" s="43"/>
      <c r="I98" s="44"/>
      <c r="J98" s="44"/>
      <c r="K98" s="44"/>
      <c r="L98" s="44"/>
      <c r="M98" s="171"/>
      <c r="N98" s="172"/>
      <c r="O98" s="172"/>
      <c r="P98" s="44"/>
      <c r="Q98" s="44"/>
      <c r="R98" s="44"/>
    </row>
    <row r="99" spans="1:18" s="2" customFormat="1" ht="15.75">
      <c r="A99" s="45"/>
      <c r="B99" s="45"/>
      <c r="C99" s="45"/>
      <c r="D99" s="45"/>
      <c r="E99" s="45"/>
      <c r="F99" s="45"/>
      <c r="G99" s="45"/>
      <c r="H99" s="45"/>
      <c r="I99" s="55"/>
      <c r="J99" s="56" t="s">
        <v>314</v>
      </c>
      <c r="K99" s="57"/>
      <c r="L99" s="57"/>
      <c r="M99" s="166">
        <f t="shared" ref="M99:O100" si="3">M100</f>
        <v>8794.2000000000007</v>
      </c>
      <c r="N99" s="166">
        <f t="shared" si="3"/>
        <v>0</v>
      </c>
      <c r="O99" s="166">
        <f t="shared" si="3"/>
        <v>8794.2000000000007</v>
      </c>
      <c r="P99" s="30"/>
      <c r="Q99" s="83"/>
      <c r="R99" s="83"/>
    </row>
    <row r="100" spans="1:18" s="36" customFormat="1" ht="15.75">
      <c r="I100" s="35">
        <v>3</v>
      </c>
      <c r="J100" s="36" t="s">
        <v>10</v>
      </c>
      <c r="K100" s="37" t="e">
        <f>K101</f>
        <v>#REF!</v>
      </c>
      <c r="L100" s="37"/>
      <c r="M100" s="167">
        <f>M101</f>
        <v>8794.2000000000007</v>
      </c>
      <c r="N100" s="167">
        <f t="shared" si="3"/>
        <v>0</v>
      </c>
      <c r="O100" s="167">
        <f t="shared" si="3"/>
        <v>8794.2000000000007</v>
      </c>
      <c r="P100" s="38"/>
      <c r="Q100" s="38"/>
      <c r="R100" s="38"/>
    </row>
    <row r="101" spans="1:18" s="36" customFormat="1" ht="15.75">
      <c r="I101" s="35">
        <v>32</v>
      </c>
      <c r="J101" s="36" t="s">
        <v>17</v>
      </c>
      <c r="K101" s="37" t="e">
        <f>#REF!</f>
        <v>#REF!</v>
      </c>
      <c r="L101" s="37"/>
      <c r="M101" s="167">
        <v>8794.2000000000007</v>
      </c>
      <c r="N101" s="167">
        <v>0</v>
      </c>
      <c r="O101" s="167">
        <f>M101+N101</f>
        <v>8794.2000000000007</v>
      </c>
      <c r="P101" s="38"/>
      <c r="Q101" s="38"/>
      <c r="R101" s="38"/>
    </row>
    <row r="102" spans="1:18" s="36" customFormat="1" ht="15.75" hidden="1">
      <c r="I102" s="35"/>
      <c r="K102" s="37"/>
      <c r="L102" s="37"/>
      <c r="M102" s="167"/>
      <c r="N102" s="203"/>
      <c r="O102" s="203"/>
      <c r="P102" s="38"/>
      <c r="Q102" s="38"/>
      <c r="R102" s="38"/>
    </row>
    <row r="103" spans="1:18" s="2" customFormat="1" ht="7.5" hidden="1" customHeight="1">
      <c r="A103" s="43"/>
      <c r="B103" s="43"/>
      <c r="C103" s="43"/>
      <c r="D103" s="43"/>
      <c r="E103" s="43"/>
      <c r="F103" s="43"/>
      <c r="G103" s="43"/>
      <c r="H103" s="43"/>
      <c r="I103" s="44"/>
      <c r="J103" s="44"/>
      <c r="K103" s="44"/>
      <c r="L103" s="44"/>
      <c r="M103" s="172"/>
      <c r="N103" s="172"/>
      <c r="O103" s="172"/>
      <c r="P103" s="44"/>
      <c r="Q103" s="44"/>
      <c r="R103" s="44"/>
    </row>
    <row r="104" spans="1:18" s="36" customFormat="1" ht="15.75" hidden="1">
      <c r="I104" s="35"/>
      <c r="K104" s="37"/>
      <c r="L104" s="37"/>
      <c r="M104" s="167"/>
      <c r="N104" s="203"/>
      <c r="O104" s="203"/>
      <c r="P104" s="38"/>
      <c r="Q104" s="38"/>
      <c r="R104" s="38"/>
    </row>
    <row r="105" spans="1:18" s="2" customFormat="1" ht="7.5" hidden="1" customHeight="1">
      <c r="A105" s="43"/>
      <c r="B105" s="43"/>
      <c r="C105" s="43"/>
      <c r="D105" s="43"/>
      <c r="E105" s="43"/>
      <c r="F105" s="43"/>
      <c r="G105" s="43"/>
      <c r="H105" s="43"/>
      <c r="I105" s="44"/>
      <c r="J105" s="44"/>
      <c r="K105" s="44"/>
      <c r="L105" s="44"/>
      <c r="M105" s="172"/>
      <c r="N105" s="172"/>
      <c r="O105" s="172"/>
      <c r="P105" s="44"/>
      <c r="Q105" s="44"/>
      <c r="R105" s="44"/>
    </row>
    <row r="106" spans="1:18" s="2" customFormat="1" ht="21" customHeight="1">
      <c r="A106" s="46"/>
      <c r="B106" s="46"/>
      <c r="C106" s="46"/>
      <c r="D106" s="46"/>
      <c r="E106" s="46"/>
      <c r="F106" s="46"/>
      <c r="G106" s="46"/>
      <c r="H106" s="46"/>
      <c r="I106" s="22" t="s">
        <v>39</v>
      </c>
      <c r="J106" s="22" t="s">
        <v>40</v>
      </c>
      <c r="K106" s="23" t="e">
        <f>K107</f>
        <v>#REF!</v>
      </c>
      <c r="L106" s="23"/>
      <c r="M106" s="162">
        <f>M107</f>
        <v>3583.47</v>
      </c>
      <c r="N106" s="162">
        <f>N107</f>
        <v>0</v>
      </c>
      <c r="O106" s="162">
        <f t="shared" ref="O106:O111" si="4">M106+N106</f>
        <v>3583.47</v>
      </c>
      <c r="P106" s="24" t="e">
        <f>M106/K106*100</f>
        <v>#REF!</v>
      </c>
      <c r="Q106" s="83"/>
      <c r="R106" s="83"/>
    </row>
    <row r="107" spans="1:18" s="2" customFormat="1" ht="15.75">
      <c r="A107" s="18"/>
      <c r="B107" s="18"/>
      <c r="C107" s="18"/>
      <c r="D107" s="18"/>
      <c r="E107" s="18"/>
      <c r="F107" s="18"/>
      <c r="G107" s="18"/>
      <c r="H107" s="18"/>
      <c r="I107" s="25" t="s">
        <v>41</v>
      </c>
      <c r="J107" s="25" t="s">
        <v>42</v>
      </c>
      <c r="K107" s="16" t="e">
        <f>K110</f>
        <v>#REF!</v>
      </c>
      <c r="L107" s="16"/>
      <c r="M107" s="163">
        <f>M110</f>
        <v>3583.47</v>
      </c>
      <c r="N107" s="163">
        <f t="shared" ref="N107:N110" si="5">N108</f>
        <v>0</v>
      </c>
      <c r="O107" s="163">
        <f t="shared" si="4"/>
        <v>3583.47</v>
      </c>
      <c r="P107" s="26" t="e">
        <f>M107/K107*100</f>
        <v>#REF!</v>
      </c>
      <c r="Q107" s="83"/>
      <c r="R107" s="83"/>
    </row>
    <row r="108" spans="1:18" s="2" customFormat="1" ht="15.75">
      <c r="A108" s="45"/>
      <c r="B108" s="45"/>
      <c r="C108" s="45"/>
      <c r="D108" s="45"/>
      <c r="E108" s="45"/>
      <c r="F108" s="45"/>
      <c r="G108" s="45"/>
      <c r="H108" s="45"/>
      <c r="I108" s="114" t="s">
        <v>37</v>
      </c>
      <c r="J108" s="115"/>
      <c r="K108" s="116"/>
      <c r="L108" s="116"/>
      <c r="M108" s="173">
        <f>M109</f>
        <v>3583.47</v>
      </c>
      <c r="N108" s="164">
        <f t="shared" si="5"/>
        <v>0</v>
      </c>
      <c r="O108" s="164">
        <f t="shared" si="4"/>
        <v>3583.47</v>
      </c>
      <c r="P108" s="30"/>
      <c r="Q108" s="83"/>
      <c r="R108" s="83"/>
    </row>
    <row r="109" spans="1:18" s="2" customFormat="1" ht="15.75">
      <c r="A109" s="45"/>
      <c r="B109" s="45"/>
      <c r="C109" s="45"/>
      <c r="D109" s="45"/>
      <c r="E109" s="45"/>
      <c r="F109" s="45"/>
      <c r="G109" s="45"/>
      <c r="H109" s="45"/>
      <c r="I109" s="55"/>
      <c r="J109" s="56" t="s">
        <v>312</v>
      </c>
      <c r="K109" s="57"/>
      <c r="L109" s="57"/>
      <c r="M109" s="166">
        <f>M110</f>
        <v>3583.47</v>
      </c>
      <c r="N109" s="166">
        <f t="shared" si="5"/>
        <v>0</v>
      </c>
      <c r="O109" s="166">
        <f t="shared" si="4"/>
        <v>3583.47</v>
      </c>
      <c r="P109" s="30"/>
      <c r="Q109" s="83"/>
      <c r="R109" s="83"/>
    </row>
    <row r="110" spans="1:18" s="36" customFormat="1" ht="15.75">
      <c r="I110" s="35">
        <v>3</v>
      </c>
      <c r="J110" s="36" t="s">
        <v>10</v>
      </c>
      <c r="K110" s="37" t="e">
        <f>K111</f>
        <v>#REF!</v>
      </c>
      <c r="L110" s="37"/>
      <c r="M110" s="167">
        <f>M111</f>
        <v>3583.47</v>
      </c>
      <c r="N110" s="167">
        <f t="shared" si="5"/>
        <v>0</v>
      </c>
      <c r="O110" s="167">
        <f t="shared" si="4"/>
        <v>3583.47</v>
      </c>
      <c r="P110" s="38" t="e">
        <f t="shared" ref="P110:P115" si="6">M110/K110*100</f>
        <v>#REF!</v>
      </c>
      <c r="Q110" s="38"/>
      <c r="R110" s="38"/>
    </row>
    <row r="111" spans="1:18" s="36" customFormat="1" ht="15.75">
      <c r="I111" s="35">
        <v>38</v>
      </c>
      <c r="J111" s="36" t="s">
        <v>275</v>
      </c>
      <c r="K111" s="37" t="e">
        <f>#REF!</f>
        <v>#REF!</v>
      </c>
      <c r="L111" s="37"/>
      <c r="M111" s="167">
        <v>3583.47</v>
      </c>
      <c r="N111" s="167">
        <v>0</v>
      </c>
      <c r="O111" s="167">
        <f t="shared" si="4"/>
        <v>3583.47</v>
      </c>
      <c r="P111" s="38" t="e">
        <f t="shared" si="6"/>
        <v>#REF!</v>
      </c>
      <c r="Q111" s="38"/>
      <c r="R111" s="38"/>
    </row>
    <row r="112" spans="1:18" s="40" customFormat="1" ht="28.5" customHeight="1">
      <c r="A112" s="22"/>
      <c r="B112" s="22"/>
      <c r="C112" s="22"/>
      <c r="D112" s="22"/>
      <c r="E112" s="22"/>
      <c r="F112" s="22"/>
      <c r="G112" s="22"/>
      <c r="H112" s="22"/>
      <c r="I112" s="47" t="s">
        <v>43</v>
      </c>
      <c r="J112" s="22" t="s">
        <v>44</v>
      </c>
      <c r="K112" s="48" t="e">
        <f>K113</f>
        <v>#REF!</v>
      </c>
      <c r="L112" s="48"/>
      <c r="M112" s="174">
        <f>M113</f>
        <v>2629457.8499999996</v>
      </c>
      <c r="N112" s="174">
        <f>N113</f>
        <v>-837353.85</v>
      </c>
      <c r="O112" s="174">
        <f>M112+N112</f>
        <v>1792103.9999999995</v>
      </c>
      <c r="P112" s="49" t="e">
        <f t="shared" si="6"/>
        <v>#REF!</v>
      </c>
      <c r="Q112" s="38"/>
      <c r="R112" s="38"/>
    </row>
    <row r="113" spans="1:18" s="40" customFormat="1" ht="27.75" customHeight="1">
      <c r="A113" s="50"/>
      <c r="B113" s="50"/>
      <c r="C113" s="50"/>
      <c r="D113" s="50"/>
      <c r="E113" s="50"/>
      <c r="F113" s="50"/>
      <c r="G113" s="50"/>
      <c r="H113" s="50"/>
      <c r="I113" s="79" t="s">
        <v>45</v>
      </c>
      <c r="J113" s="25" t="s">
        <v>44</v>
      </c>
      <c r="K113" s="51" t="e">
        <f>K114+#REF!+K155</f>
        <v>#REF!</v>
      </c>
      <c r="L113" s="51"/>
      <c r="M113" s="175">
        <f>M114+M155</f>
        <v>2629457.8499999996</v>
      </c>
      <c r="N113" s="175">
        <f>N114+N155</f>
        <v>-837353.85</v>
      </c>
      <c r="O113" s="175">
        <f>M113+N113</f>
        <v>1792103.9999999995</v>
      </c>
      <c r="P113" s="52" t="e">
        <f t="shared" si="6"/>
        <v>#REF!</v>
      </c>
      <c r="Q113" s="38"/>
      <c r="R113" s="38"/>
    </row>
    <row r="114" spans="1:18" s="2" customFormat="1" ht="15" customHeight="1">
      <c r="A114" s="46"/>
      <c r="B114" s="46"/>
      <c r="C114" s="46"/>
      <c r="D114" s="46"/>
      <c r="E114" s="46"/>
      <c r="F114" s="46"/>
      <c r="G114" s="46"/>
      <c r="H114" s="46"/>
      <c r="I114" s="22" t="s">
        <v>46</v>
      </c>
      <c r="J114" s="22" t="s">
        <v>47</v>
      </c>
      <c r="K114" s="23" t="e">
        <f>K115+#REF!</f>
        <v>#REF!</v>
      </c>
      <c r="L114" s="23"/>
      <c r="M114" s="162">
        <f>M115</f>
        <v>292326.83999999997</v>
      </c>
      <c r="N114" s="162">
        <f>SUM(N115)</f>
        <v>27554.800000000003</v>
      </c>
      <c r="O114" s="162">
        <f t="shared" ref="O114:O120" si="7">M114+N114</f>
        <v>319881.63999999996</v>
      </c>
      <c r="P114" s="24" t="e">
        <f t="shared" si="6"/>
        <v>#REF!</v>
      </c>
      <c r="Q114" s="83"/>
      <c r="R114" s="83"/>
    </row>
    <row r="115" spans="1:18" s="2" customFormat="1" ht="15.75">
      <c r="A115" s="18"/>
      <c r="B115" s="18"/>
      <c r="C115" s="18"/>
      <c r="D115" s="18"/>
      <c r="E115" s="18"/>
      <c r="F115" s="18"/>
      <c r="G115" s="18"/>
      <c r="H115" s="18"/>
      <c r="I115" s="25" t="s">
        <v>48</v>
      </c>
      <c r="J115" s="25" t="s">
        <v>49</v>
      </c>
      <c r="K115" s="16" t="e">
        <f>K118</f>
        <v>#REF!</v>
      </c>
      <c r="L115" s="16"/>
      <c r="M115" s="163">
        <f>M116+M134+M139+M143+M147+M151</f>
        <v>292326.83999999997</v>
      </c>
      <c r="N115" s="163">
        <f>SUM(N116+N134+N139+N143+N147+N151)</f>
        <v>27554.800000000003</v>
      </c>
      <c r="O115" s="163">
        <f t="shared" si="7"/>
        <v>319881.63999999996</v>
      </c>
      <c r="P115" s="26" t="e">
        <f t="shared" si="6"/>
        <v>#REF!</v>
      </c>
      <c r="Q115" s="83"/>
      <c r="R115" s="83"/>
    </row>
    <row r="116" spans="1:18" s="2" customFormat="1" ht="15.75">
      <c r="A116" s="45"/>
      <c r="B116" s="45"/>
      <c r="C116" s="45"/>
      <c r="D116" s="45"/>
      <c r="E116" s="45"/>
      <c r="F116" s="45"/>
      <c r="G116" s="45"/>
      <c r="H116" s="45"/>
      <c r="I116" s="114" t="s">
        <v>103</v>
      </c>
      <c r="J116" s="115"/>
      <c r="K116" s="116"/>
      <c r="L116" s="116"/>
      <c r="M116" s="173">
        <f>M117+M131</f>
        <v>247684.36</v>
      </c>
      <c r="N116" s="173">
        <f>N117+N131</f>
        <v>20755.54</v>
      </c>
      <c r="O116" s="173">
        <f>M116+N116</f>
        <v>268439.89999999997</v>
      </c>
      <c r="P116" s="30"/>
      <c r="Q116" s="83"/>
      <c r="R116" s="83"/>
    </row>
    <row r="117" spans="1:18" s="2" customFormat="1" ht="15.75">
      <c r="A117" s="45"/>
      <c r="B117" s="45"/>
      <c r="C117" s="45"/>
      <c r="D117" s="45"/>
      <c r="E117" s="45"/>
      <c r="F117" s="45"/>
      <c r="G117" s="45"/>
      <c r="H117" s="45"/>
      <c r="I117" s="55"/>
      <c r="J117" s="56" t="s">
        <v>315</v>
      </c>
      <c r="K117" s="57"/>
      <c r="L117" s="57"/>
      <c r="M117" s="166">
        <f>M118</f>
        <v>240784.36</v>
      </c>
      <c r="N117" s="166">
        <f>N118</f>
        <v>20755.54</v>
      </c>
      <c r="O117" s="166">
        <f t="shared" si="7"/>
        <v>261539.9</v>
      </c>
      <c r="P117" s="30"/>
      <c r="Q117" s="83"/>
      <c r="R117" s="83"/>
    </row>
    <row r="118" spans="1:18" s="36" customFormat="1" ht="15.75">
      <c r="I118" s="35">
        <v>3</v>
      </c>
      <c r="J118" s="36" t="s">
        <v>10</v>
      </c>
      <c r="K118" s="37" t="e">
        <f>K119+K120+#REF!+#REF!</f>
        <v>#REF!</v>
      </c>
      <c r="L118" s="37"/>
      <c r="M118" s="167">
        <f>M119+M120</f>
        <v>240784.36</v>
      </c>
      <c r="N118" s="167">
        <f>N119+N120</f>
        <v>20755.54</v>
      </c>
      <c r="O118" s="167">
        <f t="shared" si="7"/>
        <v>261539.9</v>
      </c>
      <c r="P118" s="38" t="e">
        <f t="shared" ref="P118:P130" si="8">M118/K118*100</f>
        <v>#REF!</v>
      </c>
      <c r="Q118" s="38"/>
      <c r="R118" s="38"/>
    </row>
    <row r="119" spans="1:18" s="36" customFormat="1" ht="15.75">
      <c r="I119" s="35">
        <v>31</v>
      </c>
      <c r="J119" s="36" t="s">
        <v>16</v>
      </c>
      <c r="K119" s="37" t="e">
        <f>#REF!+#REF!+#REF!</f>
        <v>#REF!</v>
      </c>
      <c r="L119" s="37"/>
      <c r="M119" s="167">
        <v>194954.21</v>
      </c>
      <c r="N119" s="192">
        <v>8200</v>
      </c>
      <c r="O119" s="192">
        <f t="shared" si="7"/>
        <v>203154.21</v>
      </c>
      <c r="P119" s="38" t="e">
        <f t="shared" si="8"/>
        <v>#REF!</v>
      </c>
      <c r="Q119" s="38"/>
      <c r="R119" s="38"/>
    </row>
    <row r="120" spans="1:18" s="36" customFormat="1" ht="15.75">
      <c r="I120" s="35">
        <v>32</v>
      </c>
      <c r="J120" s="36" t="s">
        <v>17</v>
      </c>
      <c r="K120" s="37" t="e">
        <f>#REF!+#REF!+#REF!+#REF!+#REF!</f>
        <v>#REF!</v>
      </c>
      <c r="L120" s="37"/>
      <c r="M120" s="167">
        <v>45830.15</v>
      </c>
      <c r="N120" s="167">
        <v>12555.54</v>
      </c>
      <c r="O120" s="167">
        <f t="shared" si="7"/>
        <v>58385.69</v>
      </c>
      <c r="P120" s="38" t="e">
        <f t="shared" si="8"/>
        <v>#REF!</v>
      </c>
      <c r="Q120" s="38"/>
      <c r="R120" s="38"/>
    </row>
    <row r="121" spans="1:18" s="36" customFormat="1" ht="7.5" hidden="1" customHeight="1">
      <c r="I121" s="39"/>
      <c r="J121" s="40"/>
      <c r="K121" s="41"/>
      <c r="L121" s="41"/>
      <c r="M121" s="92"/>
      <c r="N121" s="91"/>
      <c r="O121" s="91"/>
      <c r="P121" s="38" t="e">
        <f t="shared" si="8"/>
        <v>#DIV/0!</v>
      </c>
      <c r="Q121" s="38"/>
      <c r="R121" s="38"/>
    </row>
    <row r="122" spans="1:18" s="36" customFormat="1" ht="15.75" hidden="1">
      <c r="I122" s="35"/>
      <c r="K122" s="41"/>
      <c r="L122" s="41"/>
      <c r="M122" s="92"/>
      <c r="N122" s="91"/>
      <c r="O122" s="91"/>
      <c r="P122" s="38" t="e">
        <f t="shared" si="8"/>
        <v>#DIV/0!</v>
      </c>
      <c r="Q122" s="38"/>
      <c r="R122" s="38"/>
    </row>
    <row r="123" spans="1:18" s="36" customFormat="1" ht="15.75" hidden="1">
      <c r="I123" s="35"/>
      <c r="K123" s="37"/>
      <c r="L123" s="37"/>
      <c r="M123" s="167"/>
      <c r="N123" s="204"/>
      <c r="O123" s="204"/>
      <c r="P123" s="38" t="e">
        <f t="shared" si="8"/>
        <v>#DIV/0!</v>
      </c>
      <c r="Q123" s="38"/>
      <c r="R123" s="38"/>
    </row>
    <row r="124" spans="1:18" s="36" customFormat="1" ht="12.6" hidden="1" customHeight="1">
      <c r="I124" s="39"/>
      <c r="J124" s="40"/>
      <c r="K124" s="41"/>
      <c r="L124" s="41"/>
      <c r="M124" s="92"/>
      <c r="N124" s="91"/>
      <c r="O124" s="91"/>
      <c r="P124" s="38" t="e">
        <f t="shared" si="8"/>
        <v>#DIV/0!</v>
      </c>
      <c r="Q124" s="38"/>
      <c r="R124" s="38"/>
    </row>
    <row r="125" spans="1:18" s="36" customFormat="1" ht="7.5" hidden="1" customHeight="1">
      <c r="I125" s="35"/>
      <c r="K125" s="37"/>
      <c r="L125" s="37"/>
      <c r="M125" s="167"/>
      <c r="N125" s="204"/>
      <c r="O125" s="204"/>
      <c r="P125" s="38" t="e">
        <f t="shared" si="8"/>
        <v>#DIV/0!</v>
      </c>
      <c r="Q125" s="38"/>
      <c r="R125" s="38"/>
    </row>
    <row r="126" spans="1:18" s="36" customFormat="1" ht="14.25" hidden="1" customHeight="1">
      <c r="I126" s="39"/>
      <c r="J126" s="53"/>
      <c r="K126" s="41"/>
      <c r="L126" s="41"/>
      <c r="M126" s="92"/>
      <c r="N126" s="91"/>
      <c r="O126" s="91"/>
      <c r="P126" s="38" t="e">
        <f t="shared" si="8"/>
        <v>#DIV/0!</v>
      </c>
      <c r="Q126" s="38"/>
      <c r="R126" s="38"/>
    </row>
    <row r="127" spans="1:18" s="36" customFormat="1" ht="15.75" hidden="1">
      <c r="I127" s="35"/>
      <c r="K127" s="37"/>
      <c r="L127" s="37"/>
      <c r="M127" s="167"/>
      <c r="N127" s="204"/>
      <c r="O127" s="204"/>
      <c r="P127" s="38" t="e">
        <f t="shared" si="8"/>
        <v>#DIV/0!</v>
      </c>
      <c r="Q127" s="38"/>
      <c r="R127" s="38"/>
    </row>
    <row r="128" spans="1:18" s="36" customFormat="1" ht="15.75" hidden="1">
      <c r="I128" s="39"/>
      <c r="J128" s="40"/>
      <c r="K128" s="41"/>
      <c r="L128" s="41"/>
      <c r="M128" s="92"/>
      <c r="N128" s="91"/>
      <c r="O128" s="91"/>
      <c r="P128" s="38" t="e">
        <f t="shared" si="8"/>
        <v>#DIV/0!</v>
      </c>
      <c r="Q128" s="38"/>
      <c r="R128" s="38"/>
    </row>
    <row r="129" spans="1:18" s="36" customFormat="1" ht="15.75" hidden="1">
      <c r="I129" s="39"/>
      <c r="J129" s="40"/>
      <c r="K129" s="41"/>
      <c r="L129" s="41"/>
      <c r="M129" s="92"/>
      <c r="N129" s="91"/>
      <c r="O129" s="91"/>
      <c r="P129" s="38" t="e">
        <f t="shared" si="8"/>
        <v>#DIV/0!</v>
      </c>
      <c r="Q129" s="38"/>
      <c r="R129" s="38"/>
    </row>
    <row r="130" spans="1:18" s="36" customFormat="1" ht="15.75" hidden="1">
      <c r="I130" s="39"/>
      <c r="J130" s="40"/>
      <c r="K130" s="41"/>
      <c r="L130" s="41"/>
      <c r="M130" s="92"/>
      <c r="N130" s="91"/>
      <c r="O130" s="91"/>
      <c r="P130" s="38" t="e">
        <f t="shared" si="8"/>
        <v>#DIV/0!</v>
      </c>
      <c r="Q130" s="38"/>
      <c r="R130" s="38"/>
    </row>
    <row r="131" spans="1:18" s="2" customFormat="1" ht="15.75">
      <c r="I131" s="31"/>
      <c r="J131" s="32" t="s">
        <v>316</v>
      </c>
      <c r="K131" s="33"/>
      <c r="L131" s="33"/>
      <c r="M131" s="117">
        <f t="shared" ref="M131:N132" si="9">M132</f>
        <v>6900</v>
      </c>
      <c r="N131" s="117">
        <f>N132</f>
        <v>0</v>
      </c>
      <c r="O131" s="117">
        <f t="shared" ref="O131:O134" si="10">M131+N131</f>
        <v>6900</v>
      </c>
      <c r="P131" s="34"/>
      <c r="Q131" s="83"/>
      <c r="R131" s="83"/>
    </row>
    <row r="132" spans="1:18" s="36" customFormat="1" ht="15.75">
      <c r="I132" s="35">
        <v>3</v>
      </c>
      <c r="J132" s="36" t="s">
        <v>10</v>
      </c>
      <c r="K132" s="37" t="e">
        <f>K133+#REF!+#REF!+#REF!</f>
        <v>#REF!</v>
      </c>
      <c r="L132" s="37"/>
      <c r="M132" s="167">
        <f t="shared" si="9"/>
        <v>6900</v>
      </c>
      <c r="N132" s="167">
        <f t="shared" si="9"/>
        <v>0</v>
      </c>
      <c r="O132" s="167">
        <f t="shared" si="10"/>
        <v>6900</v>
      </c>
      <c r="P132" s="38" t="e">
        <f>M132/K132*100</f>
        <v>#REF!</v>
      </c>
      <c r="Q132" s="38"/>
      <c r="R132" s="38"/>
    </row>
    <row r="133" spans="1:18" s="36" customFormat="1" ht="15.75">
      <c r="I133" s="35">
        <v>31</v>
      </c>
      <c r="J133" s="36" t="s">
        <v>16</v>
      </c>
      <c r="K133" s="37" t="e">
        <f>#REF!+#REF!+#REF!</f>
        <v>#REF!</v>
      </c>
      <c r="L133" s="37"/>
      <c r="M133" s="167">
        <v>6900</v>
      </c>
      <c r="N133" s="192">
        <v>0</v>
      </c>
      <c r="O133" s="167">
        <f t="shared" si="10"/>
        <v>6900</v>
      </c>
      <c r="P133" s="38" t="e">
        <f>M133/K133*100</f>
        <v>#REF!</v>
      </c>
      <c r="Q133" s="38"/>
      <c r="R133" s="38"/>
    </row>
    <row r="134" spans="1:18" s="2" customFormat="1" ht="15.75">
      <c r="A134" s="45"/>
      <c r="B134" s="45"/>
      <c r="C134" s="45"/>
      <c r="D134" s="45"/>
      <c r="E134" s="45"/>
      <c r="F134" s="45"/>
      <c r="G134" s="45"/>
      <c r="H134" s="45"/>
      <c r="I134" s="114" t="s">
        <v>105</v>
      </c>
      <c r="J134" s="115"/>
      <c r="K134" s="116"/>
      <c r="L134" s="116"/>
      <c r="M134" s="164">
        <f>M136</f>
        <v>16723.07</v>
      </c>
      <c r="N134" s="164">
        <f t="shared" ref="N134" si="11">N136</f>
        <v>-5723.07</v>
      </c>
      <c r="O134" s="164">
        <f t="shared" si="10"/>
        <v>11000</v>
      </c>
      <c r="P134" s="30"/>
      <c r="Q134" s="83"/>
      <c r="R134" s="83"/>
    </row>
    <row r="135" spans="1:18" s="2" customFormat="1" ht="3" customHeight="1">
      <c r="A135" s="45"/>
      <c r="B135" s="45"/>
      <c r="C135" s="45"/>
      <c r="D135" s="45"/>
      <c r="E135" s="45"/>
      <c r="F135" s="45"/>
      <c r="G135" s="45"/>
      <c r="H135" s="45"/>
      <c r="I135" s="114"/>
      <c r="J135" s="115"/>
      <c r="K135" s="116"/>
      <c r="L135" s="116"/>
      <c r="M135" s="164"/>
      <c r="N135" s="164"/>
      <c r="O135" s="164"/>
      <c r="P135" s="30"/>
      <c r="Q135" s="83"/>
      <c r="R135" s="83"/>
    </row>
    <row r="136" spans="1:18" s="2" customFormat="1" ht="15.75">
      <c r="A136" s="45"/>
      <c r="B136" s="45"/>
      <c r="C136" s="45"/>
      <c r="D136" s="45"/>
      <c r="E136" s="45"/>
      <c r="F136" s="45"/>
      <c r="G136" s="45"/>
      <c r="H136" s="45"/>
      <c r="I136" s="55"/>
      <c r="J136" s="56" t="s">
        <v>312</v>
      </c>
      <c r="K136" s="57"/>
      <c r="L136" s="57"/>
      <c r="M136" s="166">
        <f t="shared" ref="M136:N137" si="12">M137</f>
        <v>16723.07</v>
      </c>
      <c r="N136" s="166">
        <f>N137</f>
        <v>-5723.07</v>
      </c>
      <c r="O136" s="166">
        <f t="shared" ref="O136:O154" si="13">M136+N136</f>
        <v>11000</v>
      </c>
      <c r="P136" s="30"/>
      <c r="Q136" s="83"/>
      <c r="R136" s="83"/>
    </row>
    <row r="137" spans="1:18" s="36" customFormat="1" ht="15.75">
      <c r="I137" s="35">
        <v>3</v>
      </c>
      <c r="J137" s="36" t="s">
        <v>10</v>
      </c>
      <c r="K137" s="37" t="e">
        <f>#REF!+K138+#REF!+#REF!</f>
        <v>#REF!</v>
      </c>
      <c r="L137" s="37"/>
      <c r="M137" s="167">
        <f t="shared" si="12"/>
        <v>16723.07</v>
      </c>
      <c r="N137" s="167">
        <f t="shared" si="12"/>
        <v>-5723.07</v>
      </c>
      <c r="O137" s="167">
        <f t="shared" si="13"/>
        <v>11000</v>
      </c>
      <c r="P137" s="38" t="e">
        <f>M137/K137*100</f>
        <v>#REF!</v>
      </c>
      <c r="Q137" s="38"/>
      <c r="R137" s="38"/>
    </row>
    <row r="138" spans="1:18" s="36" customFormat="1" ht="15.75">
      <c r="I138" s="35">
        <v>32</v>
      </c>
      <c r="J138" s="36" t="s">
        <v>17</v>
      </c>
      <c r="K138" s="37" t="e">
        <f>#REF!+#REF!+#REF!+#REF!+#REF!</f>
        <v>#REF!</v>
      </c>
      <c r="L138" s="37"/>
      <c r="M138" s="167">
        <v>16723.07</v>
      </c>
      <c r="N138" s="167">
        <v>-5723.07</v>
      </c>
      <c r="O138" s="167">
        <f t="shared" si="13"/>
        <v>11000</v>
      </c>
      <c r="P138" s="38" t="e">
        <f>M138/K138*100</f>
        <v>#REF!</v>
      </c>
      <c r="Q138" s="38"/>
      <c r="R138" s="38"/>
    </row>
    <row r="139" spans="1:18" s="2" customFormat="1" ht="15.75">
      <c r="A139" s="45"/>
      <c r="B139" s="45"/>
      <c r="C139" s="45"/>
      <c r="D139" s="45"/>
      <c r="E139" s="45"/>
      <c r="F139" s="45"/>
      <c r="G139" s="45"/>
      <c r="H139" s="45"/>
      <c r="I139" s="114" t="s">
        <v>106</v>
      </c>
      <c r="J139" s="115"/>
      <c r="K139" s="116"/>
      <c r="L139" s="116"/>
      <c r="M139" s="164">
        <f>M140</f>
        <v>7963.37</v>
      </c>
      <c r="N139" s="164">
        <f>N140</f>
        <v>0</v>
      </c>
      <c r="O139" s="164">
        <f t="shared" si="13"/>
        <v>7963.37</v>
      </c>
      <c r="P139" s="30"/>
      <c r="Q139" s="83"/>
      <c r="R139" s="83"/>
    </row>
    <row r="140" spans="1:18" s="2" customFormat="1" ht="15.75">
      <c r="A140" s="45"/>
      <c r="B140" s="45"/>
      <c r="C140" s="45"/>
      <c r="D140" s="45"/>
      <c r="E140" s="45"/>
      <c r="F140" s="45"/>
      <c r="G140" s="45"/>
      <c r="H140" s="45"/>
      <c r="I140" s="55"/>
      <c r="J140" s="56" t="s">
        <v>312</v>
      </c>
      <c r="K140" s="57"/>
      <c r="L140" s="57"/>
      <c r="M140" s="166">
        <f t="shared" ref="M140:N141" si="14">M141</f>
        <v>7963.37</v>
      </c>
      <c r="N140" s="166">
        <f t="shared" si="14"/>
        <v>0</v>
      </c>
      <c r="O140" s="166">
        <f t="shared" si="13"/>
        <v>7963.37</v>
      </c>
      <c r="P140" s="30"/>
      <c r="Q140" s="83"/>
      <c r="R140" s="83"/>
    </row>
    <row r="141" spans="1:18" s="36" customFormat="1" ht="15.75">
      <c r="I141" s="35">
        <v>3</v>
      </c>
      <c r="J141" s="36" t="s">
        <v>10</v>
      </c>
      <c r="K141" s="37" t="e">
        <f>#REF!+K142+#REF!+#REF!</f>
        <v>#REF!</v>
      </c>
      <c r="L141" s="37"/>
      <c r="M141" s="167">
        <f t="shared" si="14"/>
        <v>7963.37</v>
      </c>
      <c r="N141" s="167">
        <f t="shared" si="14"/>
        <v>0</v>
      </c>
      <c r="O141" s="167">
        <f t="shared" si="13"/>
        <v>7963.37</v>
      </c>
      <c r="P141" s="38" t="e">
        <f>M141/K141*100</f>
        <v>#REF!</v>
      </c>
      <c r="Q141" s="38"/>
      <c r="R141" s="38"/>
    </row>
    <row r="142" spans="1:18" s="36" customFormat="1" ht="15.75">
      <c r="I142" s="35">
        <v>32</v>
      </c>
      <c r="J142" s="36" t="s">
        <v>17</v>
      </c>
      <c r="K142" s="37" t="e">
        <f>#REF!+#REF!+#REF!+#REF!+#REF!</f>
        <v>#REF!</v>
      </c>
      <c r="L142" s="37"/>
      <c r="M142" s="167">
        <v>7963.37</v>
      </c>
      <c r="N142" s="167">
        <v>0</v>
      </c>
      <c r="O142" s="167">
        <f t="shared" si="13"/>
        <v>7963.37</v>
      </c>
      <c r="P142" s="38" t="e">
        <f>M142/K142*100</f>
        <v>#REF!</v>
      </c>
      <c r="Q142" s="38"/>
      <c r="R142" s="38"/>
    </row>
    <row r="143" spans="1:18" s="2" customFormat="1" ht="15" customHeight="1">
      <c r="A143" s="45"/>
      <c r="B143" s="45"/>
      <c r="C143" s="45"/>
      <c r="D143" s="45"/>
      <c r="E143" s="45"/>
      <c r="F143" s="45"/>
      <c r="G143" s="45"/>
      <c r="H143" s="45"/>
      <c r="I143" s="114" t="s">
        <v>107</v>
      </c>
      <c r="J143" s="115"/>
      <c r="K143" s="116"/>
      <c r="L143" s="116"/>
      <c r="M143" s="164">
        <f>M144</f>
        <v>7508.91</v>
      </c>
      <c r="N143" s="164">
        <f t="shared" ref="N143" si="15">N144</f>
        <v>4265</v>
      </c>
      <c r="O143" s="164">
        <f t="shared" si="13"/>
        <v>11773.91</v>
      </c>
      <c r="P143" s="30"/>
      <c r="Q143" s="83"/>
      <c r="R143" s="83"/>
    </row>
    <row r="144" spans="1:18" s="2" customFormat="1" ht="15.75">
      <c r="A144" s="45"/>
      <c r="B144" s="45"/>
      <c r="C144" s="45"/>
      <c r="D144" s="45"/>
      <c r="E144" s="45"/>
      <c r="F144" s="45"/>
      <c r="G144" s="45"/>
      <c r="H144" s="45"/>
      <c r="I144" s="55"/>
      <c r="J144" s="56" t="s">
        <v>312</v>
      </c>
      <c r="K144" s="57"/>
      <c r="L144" s="57"/>
      <c r="M144" s="166">
        <f t="shared" ref="M144:N145" si="16">M145</f>
        <v>7508.91</v>
      </c>
      <c r="N144" s="166">
        <f>N145</f>
        <v>4265</v>
      </c>
      <c r="O144" s="166">
        <f t="shared" si="13"/>
        <v>11773.91</v>
      </c>
      <c r="P144" s="30"/>
      <c r="Q144" s="83"/>
      <c r="R144" s="83"/>
    </row>
    <row r="145" spans="1:20" s="36" customFormat="1" ht="15.75">
      <c r="I145" s="35">
        <v>3</v>
      </c>
      <c r="J145" s="36" t="s">
        <v>10</v>
      </c>
      <c r="K145" s="37" t="e">
        <f>#REF!+K146+#REF!+#REF!</f>
        <v>#REF!</v>
      </c>
      <c r="L145" s="37"/>
      <c r="M145" s="167">
        <f t="shared" si="16"/>
        <v>7508.91</v>
      </c>
      <c r="N145" s="167">
        <f t="shared" si="16"/>
        <v>4265</v>
      </c>
      <c r="O145" s="167">
        <f t="shared" si="13"/>
        <v>11773.91</v>
      </c>
      <c r="P145" s="38" t="e">
        <f>M145/K145*100</f>
        <v>#REF!</v>
      </c>
      <c r="Q145" s="38"/>
      <c r="R145" s="38"/>
    </row>
    <row r="146" spans="1:20" s="36" customFormat="1" ht="15.75">
      <c r="I146" s="35">
        <v>32</v>
      </c>
      <c r="J146" s="36" t="s">
        <v>17</v>
      </c>
      <c r="K146" s="37" t="e">
        <f>#REF!+#REF!+#REF!+#REF!+#REF!</f>
        <v>#REF!</v>
      </c>
      <c r="L146" s="37"/>
      <c r="M146" s="167">
        <v>7508.91</v>
      </c>
      <c r="N146" s="167">
        <v>4265</v>
      </c>
      <c r="O146" s="167">
        <f t="shared" si="13"/>
        <v>11773.91</v>
      </c>
      <c r="P146" s="38" t="e">
        <f>M146/K146*100</f>
        <v>#REF!</v>
      </c>
      <c r="Q146" s="38"/>
      <c r="R146" s="38"/>
    </row>
    <row r="147" spans="1:20" s="2" customFormat="1" ht="15.75">
      <c r="A147" s="45"/>
      <c r="B147" s="45"/>
      <c r="C147" s="45"/>
      <c r="D147" s="45"/>
      <c r="E147" s="45"/>
      <c r="F147" s="45"/>
      <c r="G147" s="45"/>
      <c r="H147" s="45"/>
      <c r="I147" s="114" t="s">
        <v>108</v>
      </c>
      <c r="J147" s="115"/>
      <c r="K147" s="116"/>
      <c r="L147" s="116"/>
      <c r="M147" s="164">
        <f>M148</f>
        <v>5000</v>
      </c>
      <c r="N147" s="164">
        <f t="shared" ref="N147" si="17">N148</f>
        <v>-2000</v>
      </c>
      <c r="O147" s="164">
        <f t="shared" si="13"/>
        <v>3000</v>
      </c>
      <c r="P147" s="30"/>
      <c r="Q147" s="83"/>
      <c r="R147" s="83"/>
    </row>
    <row r="148" spans="1:20" s="2" customFormat="1" ht="15.75">
      <c r="A148" s="45"/>
      <c r="B148" s="45"/>
      <c r="C148" s="45"/>
      <c r="D148" s="45"/>
      <c r="E148" s="45"/>
      <c r="F148" s="45"/>
      <c r="G148" s="45"/>
      <c r="H148" s="45"/>
      <c r="I148" s="55"/>
      <c r="J148" s="56" t="s">
        <v>312</v>
      </c>
      <c r="K148" s="57"/>
      <c r="L148" s="57"/>
      <c r="M148" s="166">
        <f t="shared" ref="M148:N149" si="18">M149</f>
        <v>5000</v>
      </c>
      <c r="N148" s="166">
        <f t="shared" si="18"/>
        <v>-2000</v>
      </c>
      <c r="O148" s="166">
        <f t="shared" si="13"/>
        <v>3000</v>
      </c>
      <c r="P148" s="30"/>
      <c r="Q148" s="83"/>
      <c r="R148" s="83"/>
    </row>
    <row r="149" spans="1:20" s="36" customFormat="1" ht="15.75">
      <c r="I149" s="35">
        <v>3</v>
      </c>
      <c r="J149" s="36" t="s">
        <v>10</v>
      </c>
      <c r="K149" s="37" t="e">
        <f>#REF!+K150+#REF!+#REF!</f>
        <v>#REF!</v>
      </c>
      <c r="L149" s="37"/>
      <c r="M149" s="167">
        <f t="shared" si="18"/>
        <v>5000</v>
      </c>
      <c r="N149" s="167">
        <f t="shared" si="18"/>
        <v>-2000</v>
      </c>
      <c r="O149" s="167">
        <f t="shared" si="13"/>
        <v>3000</v>
      </c>
      <c r="P149" s="38" t="e">
        <f>M149/K149*100</f>
        <v>#REF!</v>
      </c>
      <c r="Q149" s="38"/>
      <c r="R149" s="38"/>
    </row>
    <row r="150" spans="1:20" s="36" customFormat="1" ht="15.75">
      <c r="I150" s="35">
        <v>32</v>
      </c>
      <c r="J150" s="36" t="s">
        <v>17</v>
      </c>
      <c r="K150" s="37" t="e">
        <f>#REF!+#REF!+#REF!+#REF!+#REF!</f>
        <v>#REF!</v>
      </c>
      <c r="L150" s="37"/>
      <c r="M150" s="167">
        <v>5000</v>
      </c>
      <c r="N150" s="167">
        <v>-2000</v>
      </c>
      <c r="O150" s="167">
        <f t="shared" si="13"/>
        <v>3000</v>
      </c>
      <c r="P150" s="38" t="e">
        <f>M150/K150*100</f>
        <v>#REF!</v>
      </c>
      <c r="Q150" s="38"/>
      <c r="R150" s="38"/>
    </row>
    <row r="151" spans="1:20" s="2" customFormat="1" ht="15.75">
      <c r="A151" s="45"/>
      <c r="B151" s="45"/>
      <c r="C151" s="45"/>
      <c r="D151" s="45"/>
      <c r="E151" s="45"/>
      <c r="F151" s="45"/>
      <c r="G151" s="45"/>
      <c r="H151" s="45"/>
      <c r="I151" s="114" t="s">
        <v>104</v>
      </c>
      <c r="J151" s="115"/>
      <c r="K151" s="116"/>
      <c r="L151" s="116"/>
      <c r="M151" s="164">
        <f>M152</f>
        <v>7447.13</v>
      </c>
      <c r="N151" s="164">
        <f t="shared" ref="N151" si="19">N152</f>
        <v>10257.33</v>
      </c>
      <c r="O151" s="164">
        <f t="shared" si="13"/>
        <v>17704.46</v>
      </c>
      <c r="P151" s="30"/>
      <c r="Q151" s="83"/>
      <c r="R151" s="83"/>
    </row>
    <row r="152" spans="1:20" s="2" customFormat="1" ht="15.75">
      <c r="A152" s="45"/>
      <c r="B152" s="45"/>
      <c r="C152" s="45"/>
      <c r="D152" s="45"/>
      <c r="E152" s="45"/>
      <c r="F152" s="45"/>
      <c r="G152" s="45"/>
      <c r="H152" s="45"/>
      <c r="I152" s="55"/>
      <c r="J152" s="56" t="s">
        <v>312</v>
      </c>
      <c r="K152" s="57"/>
      <c r="L152" s="57"/>
      <c r="M152" s="166">
        <f t="shared" ref="M152:N153" si="20">M153</f>
        <v>7447.13</v>
      </c>
      <c r="N152" s="166">
        <f>N153</f>
        <v>10257.33</v>
      </c>
      <c r="O152" s="166">
        <f t="shared" si="13"/>
        <v>17704.46</v>
      </c>
      <c r="P152" s="30"/>
      <c r="Q152" s="83"/>
      <c r="R152" s="83"/>
    </row>
    <row r="153" spans="1:20" s="36" customFormat="1" ht="15.75">
      <c r="I153" s="35">
        <v>3</v>
      </c>
      <c r="J153" s="36" t="s">
        <v>10</v>
      </c>
      <c r="K153" s="37" t="e">
        <f>K154+#REF!+#REF!+#REF!</f>
        <v>#REF!</v>
      </c>
      <c r="L153" s="37"/>
      <c r="M153" s="167">
        <f>M154</f>
        <v>7447.13</v>
      </c>
      <c r="N153" s="167">
        <f t="shared" si="20"/>
        <v>10257.33</v>
      </c>
      <c r="O153" s="167">
        <f t="shared" si="13"/>
        <v>17704.46</v>
      </c>
      <c r="P153" s="38" t="e">
        <f>M153/K153*100</f>
        <v>#REF!</v>
      </c>
      <c r="Q153" s="38"/>
      <c r="R153" s="38"/>
    </row>
    <row r="154" spans="1:20" s="36" customFormat="1" ht="15.75">
      <c r="I154" s="35">
        <v>34</v>
      </c>
      <c r="J154" s="36" t="s">
        <v>18</v>
      </c>
      <c r="K154" s="37" t="e">
        <f>#REF!</f>
        <v>#REF!</v>
      </c>
      <c r="L154" s="37"/>
      <c r="M154" s="167">
        <v>7447.13</v>
      </c>
      <c r="N154" s="167">
        <v>10257.33</v>
      </c>
      <c r="O154" s="167">
        <f t="shared" si="13"/>
        <v>17704.46</v>
      </c>
      <c r="P154" s="38" t="e">
        <f>M154/K154*100</f>
        <v>#REF!</v>
      </c>
      <c r="Q154" s="38"/>
      <c r="R154" s="38"/>
    </row>
    <row r="155" spans="1:20" s="36" customFormat="1" ht="31.5">
      <c r="A155" s="46"/>
      <c r="B155" s="46"/>
      <c r="C155" s="46"/>
      <c r="D155" s="46"/>
      <c r="E155" s="46"/>
      <c r="F155" s="46"/>
      <c r="G155" s="46"/>
      <c r="H155" s="46"/>
      <c r="I155" s="22" t="s">
        <v>50</v>
      </c>
      <c r="J155" s="22" t="s">
        <v>51</v>
      </c>
      <c r="K155" s="23" t="e">
        <f>#REF!+#REF!+K180</f>
        <v>#REF!</v>
      </c>
      <c r="L155" s="23"/>
      <c r="M155" s="162">
        <f>M156+M172+M180+M190+M204+M164+M215+M223+M231+M236</f>
        <v>2337131.0099999998</v>
      </c>
      <c r="N155" s="162">
        <f>N180+N190+N204+N156+N172+N164+N215+N223+N231+N236</f>
        <v>-864908.65</v>
      </c>
      <c r="O155" s="162">
        <f>M155+N155</f>
        <v>1472222.3599999999</v>
      </c>
      <c r="P155" s="24"/>
      <c r="Q155" s="83"/>
      <c r="R155" s="83"/>
    </row>
    <row r="156" spans="1:20" s="36" customFormat="1" ht="15.75">
      <c r="A156" s="46"/>
      <c r="B156" s="46"/>
      <c r="C156" s="46"/>
      <c r="D156" s="46"/>
      <c r="E156" s="46"/>
      <c r="F156" s="46"/>
      <c r="G156" s="46"/>
      <c r="H156" s="46"/>
      <c r="I156" s="102" t="s">
        <v>154</v>
      </c>
      <c r="J156" s="102" t="s">
        <v>246</v>
      </c>
      <c r="K156" s="103"/>
      <c r="L156" s="103"/>
      <c r="M156" s="177">
        <f>M157</f>
        <v>38500</v>
      </c>
      <c r="N156" s="177">
        <f>N157</f>
        <v>-14000</v>
      </c>
      <c r="O156" s="177">
        <f t="shared" ref="O156:O163" si="21">M156+N156</f>
        <v>24500</v>
      </c>
      <c r="P156" s="24"/>
      <c r="Q156" s="83"/>
      <c r="R156" s="83"/>
    </row>
    <row r="157" spans="1:20" s="2" customFormat="1" ht="15.75">
      <c r="A157" s="45"/>
      <c r="B157" s="45"/>
      <c r="C157" s="45"/>
      <c r="D157" s="45"/>
      <c r="E157" s="45"/>
      <c r="F157" s="45"/>
      <c r="G157" s="45"/>
      <c r="H157" s="45"/>
      <c r="I157" s="114" t="s">
        <v>155</v>
      </c>
      <c r="J157" s="115"/>
      <c r="K157" s="116"/>
      <c r="L157" s="116"/>
      <c r="M157" s="164">
        <f>M158+M161</f>
        <v>38500</v>
      </c>
      <c r="N157" s="164">
        <f>N158+N161</f>
        <v>-14000</v>
      </c>
      <c r="O157" s="164">
        <f>M157+N157</f>
        <v>24500</v>
      </c>
      <c r="P157" s="30"/>
      <c r="Q157" s="83"/>
      <c r="R157" s="83"/>
    </row>
    <row r="158" spans="1:20" s="59" customFormat="1" ht="30" customHeight="1">
      <c r="A158" s="54"/>
      <c r="B158" s="54"/>
      <c r="C158" s="54"/>
      <c r="D158" s="54"/>
      <c r="E158" s="54"/>
      <c r="F158" s="54"/>
      <c r="G158" s="54"/>
      <c r="H158" s="54"/>
      <c r="I158" s="55"/>
      <c r="J158" s="56" t="s">
        <v>306</v>
      </c>
      <c r="K158" s="57"/>
      <c r="L158" s="57"/>
      <c r="M158" s="166">
        <f t="shared" ref="M158:N159" si="22">M159</f>
        <v>38500</v>
      </c>
      <c r="N158" s="166">
        <f t="shared" si="22"/>
        <v>-38500</v>
      </c>
      <c r="O158" s="166">
        <f t="shared" si="21"/>
        <v>0</v>
      </c>
      <c r="P158" s="58"/>
      <c r="Q158" s="83"/>
      <c r="R158" s="83"/>
      <c r="S158" s="2"/>
      <c r="T158" s="2"/>
    </row>
    <row r="159" spans="1:20" s="59" customFormat="1" ht="20.25" customHeight="1">
      <c r="A159" s="54"/>
      <c r="B159" s="54"/>
      <c r="C159" s="54"/>
      <c r="D159" s="54"/>
      <c r="E159" s="54"/>
      <c r="F159" s="54"/>
      <c r="G159" s="54"/>
      <c r="H159" s="54"/>
      <c r="I159" s="101">
        <v>3</v>
      </c>
      <c r="J159" s="36" t="s">
        <v>10</v>
      </c>
      <c r="K159" s="100"/>
      <c r="L159" s="100"/>
      <c r="M159" s="178">
        <f t="shared" si="22"/>
        <v>38500</v>
      </c>
      <c r="N159" s="178">
        <f t="shared" si="22"/>
        <v>-38500</v>
      </c>
      <c r="O159" s="178">
        <f t="shared" si="21"/>
        <v>0</v>
      </c>
      <c r="P159" s="58"/>
      <c r="Q159" s="83"/>
      <c r="R159" s="83"/>
      <c r="S159" s="2"/>
      <c r="T159" s="2"/>
    </row>
    <row r="160" spans="1:20" s="59" customFormat="1" ht="20.25" customHeight="1">
      <c r="A160" s="54"/>
      <c r="B160" s="54"/>
      <c r="C160" s="54"/>
      <c r="D160" s="54"/>
      <c r="E160" s="54"/>
      <c r="F160" s="54"/>
      <c r="G160" s="54"/>
      <c r="H160" s="54"/>
      <c r="I160" s="101">
        <v>37</v>
      </c>
      <c r="J160" s="99" t="s">
        <v>166</v>
      </c>
      <c r="K160" s="100"/>
      <c r="L160" s="100"/>
      <c r="M160" s="178">
        <v>38500</v>
      </c>
      <c r="N160" s="178">
        <v>-38500</v>
      </c>
      <c r="O160" s="178">
        <f t="shared" si="21"/>
        <v>0</v>
      </c>
      <c r="P160" s="58"/>
      <c r="Q160" s="83"/>
      <c r="R160" s="83"/>
      <c r="S160" s="2"/>
      <c r="T160" s="2"/>
    </row>
    <row r="161" spans="1:20" s="128" customFormat="1" ht="15.75">
      <c r="A161" s="134"/>
      <c r="B161" s="134"/>
      <c r="C161" s="134"/>
      <c r="D161" s="134"/>
      <c r="E161" s="134"/>
      <c r="F161" s="134"/>
      <c r="G161" s="134"/>
      <c r="H161" s="134"/>
      <c r="I161" s="135"/>
      <c r="J161" s="135" t="s">
        <v>312</v>
      </c>
      <c r="K161" s="136"/>
      <c r="L161" s="136"/>
      <c r="M161" s="205">
        <f t="shared" ref="M161:N162" si="23">M162</f>
        <v>0</v>
      </c>
      <c r="N161" s="205">
        <f t="shared" si="23"/>
        <v>24500</v>
      </c>
      <c r="O161" s="205">
        <f t="shared" si="21"/>
        <v>24500</v>
      </c>
      <c r="P161" s="137"/>
      <c r="Q161" s="138"/>
      <c r="R161" s="138"/>
    </row>
    <row r="162" spans="1:20" s="36" customFormat="1" ht="15.75">
      <c r="A162" s="46"/>
      <c r="B162" s="46"/>
      <c r="C162" s="46"/>
      <c r="D162" s="46"/>
      <c r="E162" s="46"/>
      <c r="F162" s="46"/>
      <c r="G162" s="46"/>
      <c r="H162" s="46"/>
      <c r="I162" s="132">
        <v>3</v>
      </c>
      <c r="J162" s="132" t="s">
        <v>10</v>
      </c>
      <c r="K162" s="133"/>
      <c r="L162" s="133"/>
      <c r="M162" s="206">
        <f t="shared" si="23"/>
        <v>0</v>
      </c>
      <c r="N162" s="206">
        <f t="shared" si="23"/>
        <v>24500</v>
      </c>
      <c r="O162" s="206">
        <f t="shared" si="21"/>
        <v>24500</v>
      </c>
      <c r="P162" s="24"/>
      <c r="Q162" s="83"/>
      <c r="R162" s="83"/>
    </row>
    <row r="163" spans="1:20" s="36" customFormat="1" ht="21.75" customHeight="1">
      <c r="A163" s="46"/>
      <c r="B163" s="46"/>
      <c r="C163" s="46"/>
      <c r="D163" s="46"/>
      <c r="E163" s="46"/>
      <c r="F163" s="46"/>
      <c r="G163" s="46"/>
      <c r="H163" s="46"/>
      <c r="I163" s="132">
        <v>37</v>
      </c>
      <c r="J163" s="132" t="s">
        <v>166</v>
      </c>
      <c r="K163" s="133"/>
      <c r="L163" s="133"/>
      <c r="M163" s="206">
        <v>0</v>
      </c>
      <c r="N163" s="206">
        <v>24500</v>
      </c>
      <c r="O163" s="206">
        <f t="shared" si="21"/>
        <v>24500</v>
      </c>
      <c r="P163" s="24"/>
      <c r="Q163" s="83"/>
      <c r="R163" s="83"/>
    </row>
    <row r="164" spans="1:20" s="36" customFormat="1" ht="15.75">
      <c r="A164" s="46"/>
      <c r="B164" s="46"/>
      <c r="C164" s="46"/>
      <c r="D164" s="46"/>
      <c r="E164" s="46"/>
      <c r="F164" s="46"/>
      <c r="G164" s="46"/>
      <c r="H164" s="46"/>
      <c r="I164" s="102" t="s">
        <v>154</v>
      </c>
      <c r="J164" s="102" t="s">
        <v>247</v>
      </c>
      <c r="K164" s="103"/>
      <c r="L164" s="103"/>
      <c r="M164" s="177">
        <f>M165</f>
        <v>4800</v>
      </c>
      <c r="N164" s="177">
        <f>N165</f>
        <v>-3100</v>
      </c>
      <c r="O164" s="177">
        <f t="shared" ref="O164:O171" si="24">M164+N164</f>
        <v>1700</v>
      </c>
      <c r="P164" s="24"/>
      <c r="Q164" s="83"/>
      <c r="R164" s="83"/>
    </row>
    <row r="165" spans="1:20" s="2" customFormat="1" ht="15.75">
      <c r="A165" s="45"/>
      <c r="B165" s="45"/>
      <c r="C165" s="45"/>
      <c r="D165" s="45"/>
      <c r="E165" s="45"/>
      <c r="F165" s="45"/>
      <c r="G165" s="45"/>
      <c r="H165" s="45"/>
      <c r="I165" s="114" t="s">
        <v>155</v>
      </c>
      <c r="J165" s="115"/>
      <c r="K165" s="116"/>
      <c r="L165" s="116"/>
      <c r="M165" s="164">
        <f>M166+M169</f>
        <v>4800</v>
      </c>
      <c r="N165" s="164">
        <f>N166+N169</f>
        <v>-3100</v>
      </c>
      <c r="O165" s="164">
        <f t="shared" si="24"/>
        <v>1700</v>
      </c>
      <c r="P165" s="30"/>
      <c r="Q165" s="83"/>
      <c r="R165" s="83"/>
    </row>
    <row r="166" spans="1:20" s="59" customFormat="1" ht="33.75" customHeight="1">
      <c r="A166" s="54"/>
      <c r="B166" s="54"/>
      <c r="C166" s="54"/>
      <c r="D166" s="54"/>
      <c r="E166" s="54"/>
      <c r="F166" s="54"/>
      <c r="G166" s="54"/>
      <c r="H166" s="54"/>
      <c r="I166" s="55"/>
      <c r="J166" s="56" t="s">
        <v>306</v>
      </c>
      <c r="K166" s="57"/>
      <c r="L166" s="57"/>
      <c r="M166" s="166">
        <f t="shared" ref="M166:N167" si="25">M167</f>
        <v>4800</v>
      </c>
      <c r="N166" s="166">
        <f t="shared" si="25"/>
        <v>-4800</v>
      </c>
      <c r="O166" s="166">
        <f t="shared" si="24"/>
        <v>0</v>
      </c>
      <c r="P166" s="58"/>
      <c r="Q166" s="83"/>
      <c r="R166" s="83"/>
      <c r="S166" s="2"/>
      <c r="T166" s="2"/>
    </row>
    <row r="167" spans="1:20" s="59" customFormat="1" ht="20.25" customHeight="1">
      <c r="A167" s="54"/>
      <c r="B167" s="54"/>
      <c r="C167" s="54"/>
      <c r="D167" s="54"/>
      <c r="E167" s="54"/>
      <c r="F167" s="54"/>
      <c r="G167" s="54"/>
      <c r="H167" s="54"/>
      <c r="I167" s="101">
        <v>3</v>
      </c>
      <c r="J167" s="36" t="s">
        <v>10</v>
      </c>
      <c r="K167" s="100"/>
      <c r="L167" s="100"/>
      <c r="M167" s="178">
        <f t="shared" si="25"/>
        <v>4800</v>
      </c>
      <c r="N167" s="178">
        <f t="shared" si="25"/>
        <v>-4800</v>
      </c>
      <c r="O167" s="178">
        <f t="shared" si="24"/>
        <v>0</v>
      </c>
      <c r="P167" s="58"/>
      <c r="Q167" s="83"/>
      <c r="R167" s="83"/>
      <c r="S167" s="2"/>
      <c r="T167" s="2"/>
    </row>
    <row r="168" spans="1:20" s="59" customFormat="1" ht="20.25" customHeight="1">
      <c r="A168" s="54"/>
      <c r="B168" s="54"/>
      <c r="C168" s="54"/>
      <c r="D168" s="54"/>
      <c r="E168" s="54"/>
      <c r="F168" s="54"/>
      <c r="G168" s="54"/>
      <c r="H168" s="54"/>
      <c r="I168" s="101">
        <v>37</v>
      </c>
      <c r="J168" s="99" t="s">
        <v>166</v>
      </c>
      <c r="K168" s="100"/>
      <c r="L168" s="100"/>
      <c r="M168" s="178">
        <v>4800</v>
      </c>
      <c r="N168" s="178">
        <v>-4800</v>
      </c>
      <c r="O168" s="178">
        <f t="shared" si="24"/>
        <v>0</v>
      </c>
      <c r="P168" s="58"/>
      <c r="Q168" s="83"/>
      <c r="R168" s="83"/>
      <c r="S168" s="2"/>
      <c r="T168" s="2"/>
    </row>
    <row r="169" spans="1:20" s="128" customFormat="1" ht="15.75">
      <c r="A169" s="134"/>
      <c r="B169" s="134"/>
      <c r="C169" s="134"/>
      <c r="D169" s="134"/>
      <c r="E169" s="134"/>
      <c r="F169" s="134"/>
      <c r="G169" s="134"/>
      <c r="H169" s="134"/>
      <c r="I169" s="135"/>
      <c r="J169" s="135" t="s">
        <v>312</v>
      </c>
      <c r="K169" s="136"/>
      <c r="L169" s="136"/>
      <c r="M169" s="205">
        <f t="shared" ref="M169:N170" si="26">M170</f>
        <v>0</v>
      </c>
      <c r="N169" s="205">
        <f t="shared" si="26"/>
        <v>1700</v>
      </c>
      <c r="O169" s="205">
        <f t="shared" si="24"/>
        <v>1700</v>
      </c>
      <c r="P169" s="137"/>
      <c r="Q169" s="138"/>
      <c r="R169" s="138"/>
    </row>
    <row r="170" spans="1:20" s="36" customFormat="1" ht="15.75">
      <c r="A170" s="46"/>
      <c r="B170" s="46"/>
      <c r="C170" s="46"/>
      <c r="D170" s="46"/>
      <c r="E170" s="46"/>
      <c r="F170" s="46"/>
      <c r="G170" s="46"/>
      <c r="H170" s="46"/>
      <c r="I170" s="132">
        <v>3</v>
      </c>
      <c r="J170" s="132" t="s">
        <v>10</v>
      </c>
      <c r="K170" s="133"/>
      <c r="L170" s="133"/>
      <c r="M170" s="206">
        <f t="shared" si="26"/>
        <v>0</v>
      </c>
      <c r="N170" s="206">
        <f t="shared" si="26"/>
        <v>1700</v>
      </c>
      <c r="O170" s="206">
        <f t="shared" si="24"/>
        <v>1700</v>
      </c>
      <c r="P170" s="24"/>
      <c r="Q170" s="83"/>
      <c r="R170" s="83"/>
    </row>
    <row r="171" spans="1:20" s="36" customFormat="1" ht="21.75" customHeight="1">
      <c r="A171" s="46"/>
      <c r="B171" s="46"/>
      <c r="C171" s="46"/>
      <c r="D171" s="46"/>
      <c r="E171" s="46"/>
      <c r="F171" s="46"/>
      <c r="G171" s="46"/>
      <c r="H171" s="46"/>
      <c r="I171" s="132">
        <v>37</v>
      </c>
      <c r="J171" s="132" t="s">
        <v>166</v>
      </c>
      <c r="K171" s="133"/>
      <c r="L171" s="133"/>
      <c r="M171" s="206">
        <v>0</v>
      </c>
      <c r="N171" s="206">
        <v>1700</v>
      </c>
      <c r="O171" s="206">
        <f t="shared" si="24"/>
        <v>1700</v>
      </c>
      <c r="P171" s="24"/>
      <c r="Q171" s="83"/>
      <c r="R171" s="83"/>
    </row>
    <row r="172" spans="1:20" s="36" customFormat="1" ht="15.75">
      <c r="A172" s="46"/>
      <c r="B172" s="46"/>
      <c r="C172" s="46"/>
      <c r="D172" s="46"/>
      <c r="E172" s="46"/>
      <c r="F172" s="46"/>
      <c r="G172" s="46"/>
      <c r="H172" s="46"/>
      <c r="I172" s="102" t="s">
        <v>156</v>
      </c>
      <c r="J172" s="102" t="s">
        <v>158</v>
      </c>
      <c r="K172" s="103"/>
      <c r="L172" s="103"/>
      <c r="M172" s="177">
        <f t="shared" ref="M172:N178" si="27">M173</f>
        <v>10000</v>
      </c>
      <c r="N172" s="177">
        <f t="shared" si="27"/>
        <v>500</v>
      </c>
      <c r="O172" s="177">
        <f t="shared" ref="O172:O197" si="28">M172+N172</f>
        <v>10500</v>
      </c>
      <c r="P172" s="24"/>
      <c r="Q172" s="83"/>
      <c r="R172" s="83"/>
    </row>
    <row r="173" spans="1:20" s="2" customFormat="1" ht="15.75">
      <c r="A173" s="45"/>
      <c r="B173" s="45"/>
      <c r="C173" s="45"/>
      <c r="D173" s="45"/>
      <c r="E173" s="45"/>
      <c r="F173" s="45"/>
      <c r="G173" s="45"/>
      <c r="H173" s="45"/>
      <c r="I173" s="114" t="s">
        <v>155</v>
      </c>
      <c r="J173" s="115"/>
      <c r="K173" s="116"/>
      <c r="L173" s="116"/>
      <c r="M173" s="164">
        <f>M174+M177</f>
        <v>10000</v>
      </c>
      <c r="N173" s="164">
        <f>N174+N177</f>
        <v>500</v>
      </c>
      <c r="O173" s="164">
        <f t="shared" si="28"/>
        <v>10500</v>
      </c>
      <c r="P173" s="30"/>
      <c r="Q173" s="83"/>
      <c r="R173" s="83"/>
    </row>
    <row r="174" spans="1:20" s="59" customFormat="1" ht="31.5" customHeight="1">
      <c r="A174" s="54"/>
      <c r="B174" s="54"/>
      <c r="C174" s="54"/>
      <c r="D174" s="54"/>
      <c r="E174" s="54"/>
      <c r="F174" s="54"/>
      <c r="G174" s="54"/>
      <c r="H174" s="54"/>
      <c r="I174" s="55"/>
      <c r="J174" s="56" t="s">
        <v>306</v>
      </c>
      <c r="K174" s="57"/>
      <c r="L174" s="57"/>
      <c r="M174" s="166">
        <f t="shared" si="27"/>
        <v>10000</v>
      </c>
      <c r="N174" s="166">
        <f t="shared" si="27"/>
        <v>-10000</v>
      </c>
      <c r="O174" s="166">
        <f t="shared" si="28"/>
        <v>0</v>
      </c>
      <c r="P174" s="58"/>
      <c r="Q174" s="83"/>
      <c r="R174" s="83"/>
      <c r="S174" s="2"/>
      <c r="T174" s="2"/>
    </row>
    <row r="175" spans="1:20" s="59" customFormat="1" ht="20.25" customHeight="1">
      <c r="A175" s="54"/>
      <c r="B175" s="54"/>
      <c r="C175" s="54"/>
      <c r="D175" s="54"/>
      <c r="E175" s="54"/>
      <c r="F175" s="54"/>
      <c r="G175" s="54"/>
      <c r="H175" s="54"/>
      <c r="I175" s="101">
        <v>3</v>
      </c>
      <c r="J175" s="36" t="s">
        <v>10</v>
      </c>
      <c r="K175" s="100"/>
      <c r="L175" s="100"/>
      <c r="M175" s="178">
        <f t="shared" si="27"/>
        <v>10000</v>
      </c>
      <c r="N175" s="178">
        <f t="shared" si="27"/>
        <v>-10000</v>
      </c>
      <c r="O175" s="178">
        <f t="shared" si="28"/>
        <v>0</v>
      </c>
      <c r="P175" s="58"/>
      <c r="Q175" s="83"/>
      <c r="R175" s="83"/>
      <c r="S175" s="2"/>
      <c r="T175" s="2"/>
    </row>
    <row r="176" spans="1:20" s="59" customFormat="1" ht="20.25" customHeight="1">
      <c r="A176" s="54"/>
      <c r="B176" s="54"/>
      <c r="C176" s="54"/>
      <c r="D176" s="54"/>
      <c r="E176" s="54"/>
      <c r="F176" s="54"/>
      <c r="G176" s="54"/>
      <c r="H176" s="54"/>
      <c r="I176" s="101">
        <v>37</v>
      </c>
      <c r="J176" s="99" t="s">
        <v>166</v>
      </c>
      <c r="K176" s="100"/>
      <c r="L176" s="100"/>
      <c r="M176" s="178">
        <v>10000</v>
      </c>
      <c r="N176" s="178">
        <v>-10000</v>
      </c>
      <c r="O176" s="178">
        <f>M176+N176</f>
        <v>0</v>
      </c>
      <c r="P176" s="58"/>
      <c r="Q176" s="83"/>
      <c r="R176" s="83"/>
      <c r="S176" s="2"/>
      <c r="T176" s="2"/>
    </row>
    <row r="177" spans="1:20" s="59" customFormat="1" ht="16.5" customHeight="1">
      <c r="A177" s="54"/>
      <c r="B177" s="54"/>
      <c r="C177" s="54"/>
      <c r="D177" s="54"/>
      <c r="E177" s="54"/>
      <c r="F177" s="54"/>
      <c r="G177" s="54"/>
      <c r="H177" s="54"/>
      <c r="I177" s="55"/>
      <c r="J177" s="56" t="s">
        <v>312</v>
      </c>
      <c r="K177" s="57"/>
      <c r="L177" s="57"/>
      <c r="M177" s="166">
        <f t="shared" si="27"/>
        <v>0</v>
      </c>
      <c r="N177" s="166">
        <f t="shared" si="27"/>
        <v>10500</v>
      </c>
      <c r="O177" s="166">
        <f t="shared" ref="O177:O178" si="29">M177+N177</f>
        <v>10500</v>
      </c>
      <c r="P177" s="58"/>
      <c r="Q177" s="83"/>
      <c r="R177" s="83"/>
      <c r="S177" s="2"/>
      <c r="T177" s="2"/>
    </row>
    <row r="178" spans="1:20" s="59" customFormat="1" ht="20.25" customHeight="1">
      <c r="A178" s="54"/>
      <c r="B178" s="54"/>
      <c r="C178" s="54"/>
      <c r="D178" s="54"/>
      <c r="E178" s="54"/>
      <c r="F178" s="54"/>
      <c r="G178" s="54"/>
      <c r="H178" s="54"/>
      <c r="I178" s="101">
        <v>3</v>
      </c>
      <c r="J178" s="36" t="s">
        <v>10</v>
      </c>
      <c r="K178" s="100"/>
      <c r="L178" s="100"/>
      <c r="M178" s="178">
        <f t="shared" si="27"/>
        <v>0</v>
      </c>
      <c r="N178" s="178">
        <f t="shared" si="27"/>
        <v>10500</v>
      </c>
      <c r="O178" s="178">
        <f t="shared" si="29"/>
        <v>10500</v>
      </c>
      <c r="P178" s="58"/>
      <c r="Q178" s="83"/>
      <c r="R178" s="83"/>
      <c r="S178" s="2"/>
      <c r="T178" s="2"/>
    </row>
    <row r="179" spans="1:20" s="59" customFormat="1" ht="20.25" customHeight="1">
      <c r="A179" s="54"/>
      <c r="B179" s="54"/>
      <c r="C179" s="54"/>
      <c r="D179" s="54"/>
      <c r="E179" s="54"/>
      <c r="F179" s="54"/>
      <c r="G179" s="54"/>
      <c r="H179" s="54"/>
      <c r="I179" s="101">
        <v>37</v>
      </c>
      <c r="J179" s="99" t="s">
        <v>166</v>
      </c>
      <c r="K179" s="100"/>
      <c r="L179" s="100"/>
      <c r="M179" s="178">
        <v>0</v>
      </c>
      <c r="N179" s="178">
        <v>10500</v>
      </c>
      <c r="O179" s="178">
        <f>M179+N179</f>
        <v>10500</v>
      </c>
      <c r="P179" s="58"/>
      <c r="Q179" s="83"/>
      <c r="R179" s="83"/>
      <c r="S179" s="2"/>
      <c r="T179" s="2"/>
    </row>
    <row r="180" spans="1:20" s="36" customFormat="1" ht="15.75">
      <c r="A180" s="18"/>
      <c r="B180" s="18"/>
      <c r="C180" s="18"/>
      <c r="D180" s="18"/>
      <c r="E180" s="18"/>
      <c r="F180" s="18"/>
      <c r="G180" s="18"/>
      <c r="H180" s="18"/>
      <c r="I180" s="25" t="s">
        <v>53</v>
      </c>
      <c r="J180" s="25" t="s">
        <v>128</v>
      </c>
      <c r="K180" s="16" t="e">
        <f>#REF!</f>
        <v>#REF!</v>
      </c>
      <c r="L180" s="16"/>
      <c r="M180" s="163">
        <f>M181</f>
        <v>192432.95</v>
      </c>
      <c r="N180" s="163">
        <f>N181</f>
        <v>-106809.25</v>
      </c>
      <c r="O180" s="163">
        <f t="shared" si="28"/>
        <v>85623.700000000012</v>
      </c>
      <c r="P180" s="26"/>
      <c r="Q180" s="83"/>
      <c r="R180" s="83"/>
    </row>
    <row r="181" spans="1:20" s="36" customFormat="1" ht="15.75">
      <c r="A181" s="45"/>
      <c r="B181" s="45"/>
      <c r="C181" s="45"/>
      <c r="D181" s="45"/>
      <c r="E181" s="45"/>
      <c r="F181" s="45"/>
      <c r="G181" s="45"/>
      <c r="H181" s="45"/>
      <c r="I181" s="114" t="s">
        <v>54</v>
      </c>
      <c r="J181" s="115"/>
      <c r="K181" s="116"/>
      <c r="L181" s="116"/>
      <c r="M181" s="164">
        <f>M187+M182</f>
        <v>192432.95</v>
      </c>
      <c r="N181" s="164">
        <f>N187+N182</f>
        <v>-106809.25</v>
      </c>
      <c r="O181" s="164">
        <f>M181+N181</f>
        <v>85623.700000000012</v>
      </c>
      <c r="P181" s="30"/>
      <c r="Q181" s="83"/>
      <c r="R181" s="83"/>
    </row>
    <row r="182" spans="1:20" s="36" customFormat="1" ht="16.5" customHeight="1">
      <c r="A182" s="45"/>
      <c r="B182" s="45"/>
      <c r="C182" s="45"/>
      <c r="D182" s="45"/>
      <c r="E182" s="45"/>
      <c r="F182" s="45"/>
      <c r="G182" s="45"/>
      <c r="H182" s="45"/>
      <c r="I182" s="142"/>
      <c r="J182" s="143" t="s">
        <v>312</v>
      </c>
      <c r="K182" s="144"/>
      <c r="L182" s="144"/>
      <c r="M182" s="179">
        <f>M183</f>
        <v>188432.95</v>
      </c>
      <c r="N182" s="179">
        <f>N183</f>
        <v>-115988.75</v>
      </c>
      <c r="O182" s="179">
        <f t="shared" si="28"/>
        <v>72444.200000000012</v>
      </c>
      <c r="P182" s="30"/>
      <c r="Q182" s="83"/>
      <c r="R182" s="83"/>
    </row>
    <row r="183" spans="1:20" s="36" customFormat="1" ht="15.75">
      <c r="A183" s="45"/>
      <c r="B183" s="45"/>
      <c r="C183" s="45"/>
      <c r="D183" s="45"/>
      <c r="E183" s="45"/>
      <c r="F183" s="45"/>
      <c r="G183" s="45"/>
      <c r="H183" s="45"/>
      <c r="I183" s="35">
        <v>4</v>
      </c>
      <c r="J183" s="36" t="s">
        <v>11</v>
      </c>
      <c r="K183" s="37" t="e">
        <f>#REF!+K185</f>
        <v>#REF!</v>
      </c>
      <c r="L183" s="37"/>
      <c r="M183" s="167">
        <f>M185+M186+M184</f>
        <v>188432.95</v>
      </c>
      <c r="N183" s="167">
        <f>N185+N186+N184</f>
        <v>-115988.75</v>
      </c>
      <c r="O183" s="167">
        <f t="shared" si="28"/>
        <v>72444.200000000012</v>
      </c>
      <c r="P183" s="30"/>
      <c r="Q183" s="83"/>
      <c r="R183" s="83"/>
    </row>
    <row r="184" spans="1:20" s="36" customFormat="1" ht="15.75">
      <c r="A184" s="45"/>
      <c r="B184" s="45"/>
      <c r="C184" s="45"/>
      <c r="D184" s="45"/>
      <c r="E184" s="45"/>
      <c r="F184" s="45"/>
      <c r="G184" s="45"/>
      <c r="H184" s="45"/>
      <c r="I184" s="35">
        <v>41</v>
      </c>
      <c r="J184" s="36" t="s">
        <v>262</v>
      </c>
      <c r="K184" s="37"/>
      <c r="L184" s="37"/>
      <c r="M184" s="167">
        <v>15000</v>
      </c>
      <c r="N184" s="167">
        <v>0</v>
      </c>
      <c r="O184" s="167">
        <f t="shared" si="28"/>
        <v>15000</v>
      </c>
      <c r="P184" s="30"/>
      <c r="Q184" s="83"/>
      <c r="R184" s="83"/>
    </row>
    <row r="185" spans="1:20" s="36" customFormat="1" ht="15.75">
      <c r="A185" s="45"/>
      <c r="B185" s="45"/>
      <c r="C185" s="45"/>
      <c r="D185" s="45"/>
      <c r="E185" s="45"/>
      <c r="F185" s="45"/>
      <c r="G185" s="45"/>
      <c r="H185" s="45"/>
      <c r="I185" s="35">
        <v>42</v>
      </c>
      <c r="J185" s="36" t="s">
        <v>20</v>
      </c>
      <c r="K185" s="37">
        <v>20000</v>
      </c>
      <c r="L185" s="37"/>
      <c r="M185" s="167">
        <v>162815.13</v>
      </c>
      <c r="N185" s="167">
        <v>-115988.75</v>
      </c>
      <c r="O185" s="167">
        <f t="shared" si="28"/>
        <v>46826.380000000005</v>
      </c>
      <c r="P185" s="30"/>
      <c r="Q185" s="83"/>
      <c r="R185" s="83"/>
    </row>
    <row r="186" spans="1:20" s="36" customFormat="1" ht="15.75">
      <c r="A186" s="45"/>
      <c r="B186" s="45"/>
      <c r="C186" s="45"/>
      <c r="D186" s="45"/>
      <c r="E186" s="45"/>
      <c r="F186" s="45"/>
      <c r="G186" s="45"/>
      <c r="H186" s="45"/>
      <c r="I186" s="122">
        <v>45</v>
      </c>
      <c r="J186" s="120" t="s">
        <v>125</v>
      </c>
      <c r="K186" s="121"/>
      <c r="L186" s="121"/>
      <c r="M186" s="180">
        <v>10617.82</v>
      </c>
      <c r="N186" s="180">
        <v>0</v>
      </c>
      <c r="O186" s="180">
        <f t="shared" si="28"/>
        <v>10617.82</v>
      </c>
      <c r="P186" s="30"/>
      <c r="Q186" s="83"/>
      <c r="R186" s="83"/>
    </row>
    <row r="187" spans="1:20" s="59" customFormat="1" ht="22.5" customHeight="1">
      <c r="A187" s="54"/>
      <c r="B187" s="54"/>
      <c r="C187" s="54"/>
      <c r="D187" s="54"/>
      <c r="E187" s="54"/>
      <c r="F187" s="54"/>
      <c r="G187" s="54"/>
      <c r="H187" s="54"/>
      <c r="I187" s="55"/>
      <c r="J187" s="56" t="s">
        <v>313</v>
      </c>
      <c r="K187" s="57"/>
      <c r="L187" s="57"/>
      <c r="M187" s="166">
        <f t="shared" ref="M187:N188" si="30">M188</f>
        <v>4000</v>
      </c>
      <c r="N187" s="166">
        <f t="shared" si="30"/>
        <v>9179.5</v>
      </c>
      <c r="O187" s="166">
        <f t="shared" si="28"/>
        <v>13179.5</v>
      </c>
      <c r="P187" s="58"/>
      <c r="Q187" s="83"/>
      <c r="R187" s="83"/>
      <c r="S187" s="2"/>
      <c r="T187" s="2"/>
    </row>
    <row r="188" spans="1:20" s="36" customFormat="1" ht="15.75">
      <c r="I188" s="35">
        <v>4</v>
      </c>
      <c r="J188" s="36" t="s">
        <v>11</v>
      </c>
      <c r="K188" s="37" t="e">
        <f>#REF!+K189</f>
        <v>#REF!</v>
      </c>
      <c r="L188" s="37"/>
      <c r="M188" s="167">
        <f t="shared" si="30"/>
        <v>4000</v>
      </c>
      <c r="N188" s="167">
        <f t="shared" si="30"/>
        <v>9179.5</v>
      </c>
      <c r="O188" s="167">
        <f t="shared" si="28"/>
        <v>13179.5</v>
      </c>
      <c r="P188" s="38"/>
      <c r="Q188" s="38"/>
      <c r="R188" s="38"/>
    </row>
    <row r="189" spans="1:20" s="36" customFormat="1" ht="15.75">
      <c r="I189" s="35">
        <v>42</v>
      </c>
      <c r="J189" s="36" t="s">
        <v>20</v>
      </c>
      <c r="K189" s="37">
        <v>20000</v>
      </c>
      <c r="L189" s="37"/>
      <c r="M189" s="167">
        <v>4000</v>
      </c>
      <c r="N189" s="167">
        <v>9179.5</v>
      </c>
      <c r="O189" s="167">
        <f t="shared" si="28"/>
        <v>13179.5</v>
      </c>
      <c r="P189" s="42"/>
      <c r="Q189" s="42"/>
      <c r="R189" s="42"/>
    </row>
    <row r="190" spans="1:20" s="36" customFormat="1" ht="15.75">
      <c r="A190" s="18"/>
      <c r="B190" s="18"/>
      <c r="C190" s="18"/>
      <c r="D190" s="18"/>
      <c r="E190" s="18"/>
      <c r="F190" s="18"/>
      <c r="G190" s="18"/>
      <c r="H190" s="18"/>
      <c r="I190" s="25" t="s">
        <v>137</v>
      </c>
      <c r="J190" s="25" t="s">
        <v>249</v>
      </c>
      <c r="K190" s="16"/>
      <c r="L190" s="16"/>
      <c r="M190" s="163">
        <f>M191</f>
        <v>1257511.6599999999</v>
      </c>
      <c r="N190" s="163">
        <f>N191</f>
        <v>-110153.87000000002</v>
      </c>
      <c r="O190" s="163">
        <f t="shared" si="28"/>
        <v>1147357.7899999998</v>
      </c>
      <c r="P190" s="26"/>
      <c r="Q190" s="83"/>
      <c r="R190" s="83"/>
    </row>
    <row r="191" spans="1:20" s="36" customFormat="1" ht="15.75">
      <c r="A191" s="45"/>
      <c r="B191" s="45"/>
      <c r="C191" s="45"/>
      <c r="D191" s="45"/>
      <c r="E191" s="45"/>
      <c r="F191" s="45"/>
      <c r="G191" s="45"/>
      <c r="H191" s="45"/>
      <c r="I191" s="114" t="s">
        <v>54</v>
      </c>
      <c r="J191" s="115"/>
      <c r="K191" s="116"/>
      <c r="L191" s="116"/>
      <c r="M191" s="164">
        <f>M192+M195+M198+M201</f>
        <v>1257511.6599999999</v>
      </c>
      <c r="N191" s="164">
        <f>N192+N195+N198+N201</f>
        <v>-110153.87000000002</v>
      </c>
      <c r="O191" s="164">
        <f t="shared" si="28"/>
        <v>1147357.7899999998</v>
      </c>
      <c r="P191" s="30"/>
      <c r="Q191" s="83"/>
      <c r="R191" s="83"/>
    </row>
    <row r="192" spans="1:20" s="59" customFormat="1" ht="19.5" customHeight="1">
      <c r="A192" s="54"/>
      <c r="B192" s="54"/>
      <c r="C192" s="54"/>
      <c r="D192" s="54"/>
      <c r="E192" s="54"/>
      <c r="F192" s="54"/>
      <c r="G192" s="54"/>
      <c r="H192" s="54"/>
      <c r="I192" s="55"/>
      <c r="J192" s="56" t="s">
        <v>317</v>
      </c>
      <c r="K192" s="57"/>
      <c r="L192" s="57"/>
      <c r="M192" s="166">
        <f t="shared" ref="M192:N193" si="31">M193</f>
        <v>237878.38</v>
      </c>
      <c r="N192" s="166">
        <f t="shared" si="31"/>
        <v>0</v>
      </c>
      <c r="O192" s="166">
        <f t="shared" si="28"/>
        <v>237878.38</v>
      </c>
      <c r="P192" s="58"/>
      <c r="Q192" s="83"/>
      <c r="R192" s="83"/>
      <c r="S192" s="2"/>
      <c r="T192" s="2"/>
    </row>
    <row r="193" spans="1:20" s="36" customFormat="1" ht="15.75">
      <c r="I193" s="35">
        <v>4</v>
      </c>
      <c r="J193" s="36" t="s">
        <v>11</v>
      </c>
      <c r="K193" s="37"/>
      <c r="L193" s="37"/>
      <c r="M193" s="167">
        <f t="shared" si="31"/>
        <v>237878.38</v>
      </c>
      <c r="N193" s="167">
        <f t="shared" si="31"/>
        <v>0</v>
      </c>
      <c r="O193" s="167">
        <f t="shared" si="28"/>
        <v>237878.38</v>
      </c>
      <c r="P193" s="38"/>
      <c r="Q193" s="38"/>
      <c r="R193" s="38"/>
    </row>
    <row r="194" spans="1:20" s="36" customFormat="1" ht="15.75">
      <c r="I194" s="35">
        <v>42</v>
      </c>
      <c r="J194" s="36" t="s">
        <v>118</v>
      </c>
      <c r="K194" s="37"/>
      <c r="L194" s="37"/>
      <c r="M194" s="167">
        <v>237878.38</v>
      </c>
      <c r="N194" s="167">
        <v>0</v>
      </c>
      <c r="O194" s="167">
        <f t="shared" si="28"/>
        <v>237878.38</v>
      </c>
      <c r="P194" s="38"/>
      <c r="Q194" s="38"/>
      <c r="R194" s="38"/>
    </row>
    <row r="195" spans="1:20" s="59" customFormat="1" ht="15.75">
      <c r="A195" s="54"/>
      <c r="B195" s="54"/>
      <c r="C195" s="54"/>
      <c r="D195" s="54"/>
      <c r="E195" s="54"/>
      <c r="F195" s="54"/>
      <c r="G195" s="54"/>
      <c r="H195" s="54"/>
      <c r="I195" s="55"/>
      <c r="J195" s="56" t="s">
        <v>313</v>
      </c>
      <c r="K195" s="57"/>
      <c r="L195" s="57"/>
      <c r="M195" s="166">
        <f t="shared" ref="M195:N202" si="32">M196</f>
        <v>878815.84</v>
      </c>
      <c r="N195" s="166">
        <f t="shared" si="32"/>
        <v>-189111.64</v>
      </c>
      <c r="O195" s="166">
        <f t="shared" si="28"/>
        <v>689704.2</v>
      </c>
      <c r="P195" s="58"/>
      <c r="Q195" s="83"/>
      <c r="R195" s="83"/>
      <c r="S195" s="2"/>
      <c r="T195" s="2"/>
    </row>
    <row r="196" spans="1:20" s="36" customFormat="1" ht="15.75">
      <c r="I196" s="35">
        <v>4</v>
      </c>
      <c r="J196" s="36" t="s">
        <v>11</v>
      </c>
      <c r="K196" s="37"/>
      <c r="L196" s="37"/>
      <c r="M196" s="167">
        <f t="shared" si="32"/>
        <v>878815.84</v>
      </c>
      <c r="N196" s="167">
        <f t="shared" si="32"/>
        <v>-189111.64</v>
      </c>
      <c r="O196" s="167">
        <f t="shared" si="28"/>
        <v>689704.2</v>
      </c>
      <c r="P196" s="38"/>
      <c r="Q196" s="38"/>
      <c r="R196" s="38"/>
    </row>
    <row r="197" spans="1:20" s="36" customFormat="1" ht="16.5" customHeight="1">
      <c r="I197" s="35">
        <v>42</v>
      </c>
      <c r="J197" s="36" t="s">
        <v>20</v>
      </c>
      <c r="K197" s="37"/>
      <c r="L197" s="37"/>
      <c r="M197" s="167">
        <v>878815.84</v>
      </c>
      <c r="N197" s="167">
        <v>-189111.64</v>
      </c>
      <c r="O197" s="167">
        <f t="shared" si="28"/>
        <v>689704.2</v>
      </c>
      <c r="P197" s="38"/>
      <c r="Q197" s="38"/>
      <c r="R197" s="38"/>
    </row>
    <row r="198" spans="1:20" s="36" customFormat="1" ht="16.5" customHeight="1">
      <c r="I198" s="55"/>
      <c r="J198" s="56" t="s">
        <v>305</v>
      </c>
      <c r="K198" s="57"/>
      <c r="L198" s="57"/>
      <c r="M198" s="166">
        <f t="shared" si="32"/>
        <v>140817.44</v>
      </c>
      <c r="N198" s="166">
        <f t="shared" si="32"/>
        <v>-140817.44</v>
      </c>
      <c r="O198" s="166">
        <f t="shared" ref="O198:O229" si="33">M198+N198</f>
        <v>0</v>
      </c>
      <c r="P198" s="38"/>
      <c r="Q198" s="38"/>
      <c r="R198" s="38"/>
    </row>
    <row r="199" spans="1:20" s="36" customFormat="1" ht="16.5" customHeight="1">
      <c r="I199" s="35">
        <v>4</v>
      </c>
      <c r="J199" s="36" t="s">
        <v>11</v>
      </c>
      <c r="K199" s="37"/>
      <c r="L199" s="37"/>
      <c r="M199" s="167">
        <f t="shared" si="32"/>
        <v>140817.44</v>
      </c>
      <c r="N199" s="167">
        <f>N200</f>
        <v>-140817.44</v>
      </c>
      <c r="O199" s="167">
        <f t="shared" si="33"/>
        <v>0</v>
      </c>
      <c r="P199" s="38"/>
      <c r="Q199" s="38"/>
      <c r="R199" s="38"/>
    </row>
    <row r="200" spans="1:20" s="36" customFormat="1" ht="16.5" customHeight="1">
      <c r="I200" s="35">
        <v>42</v>
      </c>
      <c r="J200" s="36" t="s">
        <v>20</v>
      </c>
      <c r="K200" s="37"/>
      <c r="L200" s="37"/>
      <c r="M200" s="167">
        <v>140817.44</v>
      </c>
      <c r="N200" s="167">
        <v>-140817.44</v>
      </c>
      <c r="O200" s="167">
        <f t="shared" si="33"/>
        <v>0</v>
      </c>
      <c r="P200" s="38"/>
      <c r="Q200" s="38"/>
      <c r="R200" s="38"/>
    </row>
    <row r="201" spans="1:20" s="36" customFormat="1" ht="16.5" customHeight="1">
      <c r="I201" s="55"/>
      <c r="J201" s="56" t="s">
        <v>359</v>
      </c>
      <c r="K201" s="57"/>
      <c r="L201" s="57"/>
      <c r="M201" s="166">
        <f t="shared" si="32"/>
        <v>0</v>
      </c>
      <c r="N201" s="166">
        <f t="shared" si="32"/>
        <v>219775.21</v>
      </c>
      <c r="O201" s="166">
        <f t="shared" ref="O201:O203" si="34">M201+N201</f>
        <v>219775.21</v>
      </c>
      <c r="P201" s="38"/>
      <c r="Q201" s="38"/>
      <c r="R201" s="38"/>
    </row>
    <row r="202" spans="1:20" s="36" customFormat="1" ht="16.5" customHeight="1">
      <c r="I202" s="35">
        <v>4</v>
      </c>
      <c r="J202" s="36" t="s">
        <v>11</v>
      </c>
      <c r="K202" s="37"/>
      <c r="L202" s="37"/>
      <c r="M202" s="167">
        <f t="shared" si="32"/>
        <v>0</v>
      </c>
      <c r="N202" s="167">
        <f>N203</f>
        <v>219775.21</v>
      </c>
      <c r="O202" s="167">
        <f t="shared" si="34"/>
        <v>219775.21</v>
      </c>
      <c r="P202" s="38"/>
      <c r="Q202" s="38"/>
      <c r="R202" s="38"/>
    </row>
    <row r="203" spans="1:20" s="36" customFormat="1" ht="16.5" customHeight="1">
      <c r="I203" s="35">
        <v>42</v>
      </c>
      <c r="J203" s="36" t="s">
        <v>20</v>
      </c>
      <c r="K203" s="37"/>
      <c r="L203" s="37"/>
      <c r="M203" s="167">
        <v>0</v>
      </c>
      <c r="N203" s="167">
        <v>219775.21</v>
      </c>
      <c r="O203" s="167">
        <f t="shared" si="34"/>
        <v>219775.21</v>
      </c>
      <c r="P203" s="38"/>
      <c r="Q203" s="38"/>
      <c r="R203" s="38"/>
    </row>
    <row r="204" spans="1:20" s="36" customFormat="1" ht="15.75">
      <c r="A204" s="18"/>
      <c r="B204" s="18"/>
      <c r="C204" s="18"/>
      <c r="D204" s="18"/>
      <c r="E204" s="18"/>
      <c r="F204" s="18"/>
      <c r="G204" s="18"/>
      <c r="H204" s="18"/>
      <c r="I204" s="25" t="s">
        <v>142</v>
      </c>
      <c r="J204" s="25" t="s">
        <v>157</v>
      </c>
      <c r="K204" s="16" t="e">
        <f>#REF!</f>
        <v>#REF!</v>
      </c>
      <c r="L204" s="16"/>
      <c r="M204" s="163">
        <f>M205</f>
        <v>197703.38</v>
      </c>
      <c r="N204" s="163">
        <f>N205</f>
        <v>-168892.66999999998</v>
      </c>
      <c r="O204" s="163">
        <f t="shared" si="33"/>
        <v>28810.710000000021</v>
      </c>
      <c r="P204" s="26" t="e">
        <f>M204/K204*100</f>
        <v>#REF!</v>
      </c>
      <c r="Q204" s="83"/>
      <c r="R204" s="83"/>
    </row>
    <row r="205" spans="1:20" s="36" customFormat="1" ht="15.75">
      <c r="A205" s="45"/>
      <c r="B205" s="45"/>
      <c r="C205" s="45"/>
      <c r="D205" s="45"/>
      <c r="E205" s="45"/>
      <c r="F205" s="45"/>
      <c r="G205" s="45"/>
      <c r="H205" s="45"/>
      <c r="I205" s="114" t="s">
        <v>37</v>
      </c>
      <c r="J205" s="115"/>
      <c r="K205" s="116"/>
      <c r="L205" s="116"/>
      <c r="M205" s="164">
        <f>M206+M209+M212</f>
        <v>197703.38</v>
      </c>
      <c r="N205" s="164">
        <f>N206+N209+N212</f>
        <v>-168892.66999999998</v>
      </c>
      <c r="O205" s="164">
        <f>M205+N205</f>
        <v>28810.710000000021</v>
      </c>
      <c r="P205" s="30"/>
      <c r="Q205" s="83"/>
      <c r="R205" s="83"/>
    </row>
    <row r="206" spans="1:20" s="36" customFormat="1" ht="15.75">
      <c r="A206" s="45"/>
      <c r="B206" s="45"/>
      <c r="C206" s="45"/>
      <c r="D206" s="45"/>
      <c r="E206" s="45"/>
      <c r="F206" s="45"/>
      <c r="G206" s="45"/>
      <c r="H206" s="45"/>
      <c r="I206" s="55"/>
      <c r="J206" s="56" t="s">
        <v>313</v>
      </c>
      <c r="K206" s="57"/>
      <c r="L206" s="57"/>
      <c r="M206" s="166">
        <f>M207</f>
        <v>56000</v>
      </c>
      <c r="N206" s="166">
        <f>N207</f>
        <v>-49875</v>
      </c>
      <c r="O206" s="166">
        <f t="shared" si="33"/>
        <v>6125</v>
      </c>
      <c r="P206" s="30"/>
      <c r="Q206" s="83"/>
      <c r="R206" s="83"/>
    </row>
    <row r="207" spans="1:20" s="36" customFormat="1" ht="15.75">
      <c r="I207" s="35">
        <v>4</v>
      </c>
      <c r="J207" s="36" t="s">
        <v>11</v>
      </c>
      <c r="K207" s="37" t="e">
        <f>K208</f>
        <v>#REF!</v>
      </c>
      <c r="L207" s="37"/>
      <c r="M207" s="167">
        <f>M208</f>
        <v>56000</v>
      </c>
      <c r="N207" s="167">
        <f>N208</f>
        <v>-49875</v>
      </c>
      <c r="O207" s="167">
        <f t="shared" si="33"/>
        <v>6125</v>
      </c>
      <c r="P207" s="38" t="e">
        <f>M207/K207*100</f>
        <v>#REF!</v>
      </c>
      <c r="Q207" s="38"/>
      <c r="R207" s="38"/>
    </row>
    <row r="208" spans="1:20" s="36" customFormat="1" ht="15.75" customHeight="1">
      <c r="I208" s="35">
        <v>42</v>
      </c>
      <c r="J208" s="36" t="s">
        <v>11</v>
      </c>
      <c r="K208" s="37" t="e">
        <f>#REF!</f>
        <v>#REF!</v>
      </c>
      <c r="L208" s="37"/>
      <c r="M208" s="167">
        <v>56000</v>
      </c>
      <c r="N208" s="167">
        <v>-49875</v>
      </c>
      <c r="O208" s="167">
        <f t="shared" si="33"/>
        <v>6125</v>
      </c>
      <c r="P208" s="38" t="e">
        <f>M208/K208*100</f>
        <v>#REF!</v>
      </c>
      <c r="Q208" s="38"/>
      <c r="R208" s="38"/>
    </row>
    <row r="209" spans="9:18" s="128" customFormat="1" ht="15.75">
      <c r="I209" s="130"/>
      <c r="J209" s="128" t="s">
        <v>305</v>
      </c>
      <c r="K209" s="131"/>
      <c r="L209" s="131"/>
      <c r="M209" s="176">
        <f t="shared" ref="M209:N210" si="35">M210</f>
        <v>92685.71</v>
      </c>
      <c r="N209" s="207">
        <f t="shared" si="35"/>
        <v>-70000</v>
      </c>
      <c r="O209" s="176">
        <f t="shared" si="33"/>
        <v>22685.710000000006</v>
      </c>
      <c r="P209" s="129"/>
      <c r="Q209" s="129"/>
      <c r="R209" s="129"/>
    </row>
    <row r="210" spans="9:18" s="36" customFormat="1" ht="15.75">
      <c r="I210" s="35">
        <v>4</v>
      </c>
      <c r="J210" s="35" t="s">
        <v>11</v>
      </c>
      <c r="K210" s="37"/>
      <c r="L210" s="37"/>
      <c r="M210" s="168">
        <f t="shared" si="35"/>
        <v>92685.71</v>
      </c>
      <c r="N210" s="208">
        <f t="shared" si="35"/>
        <v>-70000</v>
      </c>
      <c r="O210" s="167">
        <f t="shared" si="33"/>
        <v>22685.710000000006</v>
      </c>
      <c r="P210" s="38"/>
      <c r="Q210" s="38"/>
      <c r="R210" s="38"/>
    </row>
    <row r="211" spans="9:18" s="36" customFormat="1" ht="15.75">
      <c r="I211" s="35">
        <v>42</v>
      </c>
      <c r="J211" s="35" t="s">
        <v>11</v>
      </c>
      <c r="K211" s="37"/>
      <c r="L211" s="37"/>
      <c r="M211" s="168">
        <v>92685.71</v>
      </c>
      <c r="N211" s="208">
        <v>-70000</v>
      </c>
      <c r="O211" s="167">
        <f t="shared" si="33"/>
        <v>22685.710000000006</v>
      </c>
      <c r="P211" s="38"/>
      <c r="Q211" s="38"/>
      <c r="R211" s="38"/>
    </row>
    <row r="212" spans="9:18" s="36" customFormat="1" ht="15.75">
      <c r="I212" s="55"/>
      <c r="J212" s="56" t="s">
        <v>312</v>
      </c>
      <c r="K212" s="57"/>
      <c r="L212" s="57"/>
      <c r="M212" s="166">
        <f t="shared" ref="M212:N213" si="36">M213</f>
        <v>49017.67</v>
      </c>
      <c r="N212" s="166">
        <f>N213</f>
        <v>-49017.67</v>
      </c>
      <c r="O212" s="166">
        <f t="shared" si="33"/>
        <v>0</v>
      </c>
      <c r="P212" s="38"/>
      <c r="Q212" s="42"/>
      <c r="R212" s="42"/>
    </row>
    <row r="213" spans="9:18" s="36" customFormat="1" ht="15.75">
      <c r="I213" s="35">
        <v>4</v>
      </c>
      <c r="J213" s="36" t="s">
        <v>11</v>
      </c>
      <c r="K213" s="37"/>
      <c r="L213" s="37"/>
      <c r="M213" s="167">
        <f t="shared" si="36"/>
        <v>49017.67</v>
      </c>
      <c r="N213" s="167">
        <f t="shared" si="36"/>
        <v>-49017.67</v>
      </c>
      <c r="O213" s="167">
        <f t="shared" si="33"/>
        <v>0</v>
      </c>
      <c r="P213" s="38"/>
      <c r="Q213" s="42"/>
      <c r="R213" s="42"/>
    </row>
    <row r="214" spans="9:18" s="36" customFormat="1" ht="15.75">
      <c r="I214" s="35">
        <v>42</v>
      </c>
      <c r="J214" s="36" t="s">
        <v>20</v>
      </c>
      <c r="K214" s="37"/>
      <c r="L214" s="37"/>
      <c r="M214" s="167">
        <v>49017.67</v>
      </c>
      <c r="N214" s="167">
        <v>-49017.67</v>
      </c>
      <c r="O214" s="167">
        <f t="shared" si="33"/>
        <v>0</v>
      </c>
      <c r="P214" s="38"/>
      <c r="Q214" s="42"/>
      <c r="R214" s="42"/>
    </row>
    <row r="215" spans="9:18" s="36" customFormat="1" ht="15.75">
      <c r="I215" s="25" t="s">
        <v>292</v>
      </c>
      <c r="J215" s="25" t="s">
        <v>293</v>
      </c>
      <c r="K215" s="16"/>
      <c r="L215" s="16"/>
      <c r="M215" s="163">
        <f>M216</f>
        <v>156342.5</v>
      </c>
      <c r="N215" s="163">
        <f>N216</f>
        <v>-135.32000000000698</v>
      </c>
      <c r="O215" s="163">
        <f t="shared" si="33"/>
        <v>156207.18</v>
      </c>
      <c r="P215" s="38"/>
      <c r="Q215" s="42"/>
      <c r="R215" s="42"/>
    </row>
    <row r="216" spans="9:18" s="36" customFormat="1" ht="15.75">
      <c r="I216" s="114" t="s">
        <v>54</v>
      </c>
      <c r="J216" s="115"/>
      <c r="K216" s="116"/>
      <c r="L216" s="116"/>
      <c r="M216" s="164">
        <f>M217+M220</f>
        <v>156342.5</v>
      </c>
      <c r="N216" s="164">
        <f>N217+N220</f>
        <v>-135.32000000000698</v>
      </c>
      <c r="O216" s="164">
        <f>M216+N216</f>
        <v>156207.18</v>
      </c>
      <c r="P216" s="38"/>
      <c r="Q216" s="42"/>
      <c r="R216" s="42"/>
    </row>
    <row r="217" spans="9:18" s="36" customFormat="1" ht="15.75">
      <c r="I217" s="55"/>
      <c r="J217" s="56" t="s">
        <v>304</v>
      </c>
      <c r="K217" s="57"/>
      <c r="L217" s="57"/>
      <c r="M217" s="166">
        <f t="shared" ref="M217:N218" si="37">M218</f>
        <v>156342.5</v>
      </c>
      <c r="N217" s="166">
        <f t="shared" si="37"/>
        <v>-156342.5</v>
      </c>
      <c r="O217" s="166">
        <f t="shared" si="33"/>
        <v>0</v>
      </c>
      <c r="P217" s="38"/>
      <c r="Q217" s="42"/>
      <c r="R217" s="42"/>
    </row>
    <row r="218" spans="9:18" s="36" customFormat="1" ht="15.75">
      <c r="I218" s="35">
        <v>4</v>
      </c>
      <c r="J218" s="36" t="s">
        <v>11</v>
      </c>
      <c r="K218" s="37"/>
      <c r="L218" s="37"/>
      <c r="M218" s="167">
        <f t="shared" si="37"/>
        <v>156342.5</v>
      </c>
      <c r="N218" s="167">
        <f t="shared" si="37"/>
        <v>-156342.5</v>
      </c>
      <c r="O218" s="167">
        <f t="shared" si="33"/>
        <v>0</v>
      </c>
      <c r="P218" s="38"/>
      <c r="Q218" s="42"/>
      <c r="R218" s="42"/>
    </row>
    <row r="219" spans="9:18" s="36" customFormat="1" ht="15.75">
      <c r="I219" s="35">
        <v>42</v>
      </c>
      <c r="J219" s="36" t="s">
        <v>118</v>
      </c>
      <c r="K219" s="37"/>
      <c r="L219" s="37"/>
      <c r="M219" s="167">
        <v>156342.5</v>
      </c>
      <c r="N219" s="167">
        <v>-156342.5</v>
      </c>
      <c r="O219" s="167">
        <f t="shared" si="33"/>
        <v>0</v>
      </c>
      <c r="P219" s="38"/>
      <c r="Q219" s="42"/>
      <c r="R219" s="42"/>
    </row>
    <row r="220" spans="9:18" s="36" customFormat="1" ht="15.75">
      <c r="I220" s="55"/>
      <c r="J220" s="56" t="s">
        <v>312</v>
      </c>
      <c r="K220" s="57"/>
      <c r="L220" s="57"/>
      <c r="M220" s="166">
        <f t="shared" ref="M220:N221" si="38">M221</f>
        <v>0</v>
      </c>
      <c r="N220" s="166">
        <f t="shared" si="38"/>
        <v>156207.18</v>
      </c>
      <c r="O220" s="166">
        <f t="shared" ref="O220:O222" si="39">M220+N220</f>
        <v>156207.18</v>
      </c>
      <c r="P220" s="38"/>
      <c r="Q220" s="42"/>
      <c r="R220" s="42"/>
    </row>
    <row r="221" spans="9:18" s="36" customFormat="1" ht="15.75">
      <c r="I221" s="35">
        <v>4</v>
      </c>
      <c r="J221" s="36" t="s">
        <v>11</v>
      </c>
      <c r="K221" s="37"/>
      <c r="L221" s="37"/>
      <c r="M221" s="167">
        <f t="shared" si="38"/>
        <v>0</v>
      </c>
      <c r="N221" s="167">
        <f t="shared" si="38"/>
        <v>156207.18</v>
      </c>
      <c r="O221" s="167">
        <f t="shared" si="39"/>
        <v>156207.18</v>
      </c>
      <c r="P221" s="38"/>
      <c r="Q221" s="42"/>
      <c r="R221" s="42"/>
    </row>
    <row r="222" spans="9:18" s="36" customFormat="1" ht="15.75">
      <c r="I222" s="35">
        <v>42</v>
      </c>
      <c r="J222" s="36" t="s">
        <v>20</v>
      </c>
      <c r="K222" s="37"/>
      <c r="L222" s="37"/>
      <c r="M222" s="167">
        <v>0</v>
      </c>
      <c r="N222" s="167">
        <v>156207.18</v>
      </c>
      <c r="O222" s="167">
        <f t="shared" si="39"/>
        <v>156207.18</v>
      </c>
      <c r="P222" s="38"/>
      <c r="Q222" s="42"/>
      <c r="R222" s="42"/>
    </row>
    <row r="223" spans="9:18" s="36" customFormat="1" ht="15.75">
      <c r="I223" s="25" t="s">
        <v>295</v>
      </c>
      <c r="J223" s="25" t="s">
        <v>296</v>
      </c>
      <c r="K223" s="16"/>
      <c r="L223" s="16"/>
      <c r="M223" s="163">
        <f>M224</f>
        <v>91224.99</v>
      </c>
      <c r="N223" s="163">
        <f>N224</f>
        <v>-91224.99</v>
      </c>
      <c r="O223" s="163">
        <f t="shared" si="33"/>
        <v>0</v>
      </c>
      <c r="P223" s="38"/>
      <c r="Q223" s="42"/>
      <c r="R223" s="42"/>
    </row>
    <row r="224" spans="9:18" s="36" customFormat="1" ht="15.75">
      <c r="I224" s="114" t="s">
        <v>54</v>
      </c>
      <c r="J224" s="115"/>
      <c r="K224" s="116"/>
      <c r="L224" s="116"/>
      <c r="M224" s="164">
        <v>91224.99</v>
      </c>
      <c r="N224" s="164">
        <v>-91224.99</v>
      </c>
      <c r="O224" s="164">
        <f t="shared" si="33"/>
        <v>0</v>
      </c>
      <c r="P224" s="38"/>
      <c r="Q224" s="42"/>
      <c r="R224" s="42"/>
    </row>
    <row r="225" spans="9:18" s="36" customFormat="1" ht="15.75">
      <c r="I225" s="55"/>
      <c r="J225" s="56" t="s">
        <v>304</v>
      </c>
      <c r="K225" s="57"/>
      <c r="L225" s="57"/>
      <c r="M225" s="166">
        <f t="shared" ref="M225:N226" si="40">M226</f>
        <v>43620.1</v>
      </c>
      <c r="N225" s="166">
        <f>N226</f>
        <v>-43620.1</v>
      </c>
      <c r="O225" s="166">
        <f t="shared" si="33"/>
        <v>0</v>
      </c>
      <c r="P225" s="38"/>
      <c r="Q225" s="42"/>
      <c r="R225" s="42"/>
    </row>
    <row r="226" spans="9:18" s="36" customFormat="1" ht="15.75">
      <c r="I226" s="35">
        <v>4</v>
      </c>
      <c r="J226" s="36" t="s">
        <v>11</v>
      </c>
      <c r="K226" s="37"/>
      <c r="L226" s="37"/>
      <c r="M226" s="167">
        <f t="shared" si="40"/>
        <v>43620.1</v>
      </c>
      <c r="N226" s="167">
        <f t="shared" si="40"/>
        <v>-43620.1</v>
      </c>
      <c r="O226" s="167">
        <f t="shared" si="33"/>
        <v>0</v>
      </c>
      <c r="P226" s="38"/>
      <c r="Q226" s="42"/>
      <c r="R226" s="42"/>
    </row>
    <row r="227" spans="9:18" s="36" customFormat="1" ht="15.75">
      <c r="I227" s="35">
        <v>42</v>
      </c>
      <c r="J227" s="36" t="s">
        <v>118</v>
      </c>
      <c r="K227" s="37"/>
      <c r="L227" s="37"/>
      <c r="M227" s="167">
        <v>43620.1</v>
      </c>
      <c r="N227" s="167">
        <v>-43620.1</v>
      </c>
      <c r="O227" s="167">
        <f t="shared" si="33"/>
        <v>0</v>
      </c>
      <c r="P227" s="38"/>
      <c r="Q227" s="42"/>
      <c r="R227" s="42"/>
    </row>
    <row r="228" spans="9:18" s="36" customFormat="1" ht="15.75">
      <c r="I228" s="55"/>
      <c r="J228" s="56" t="s">
        <v>313</v>
      </c>
      <c r="K228" s="57"/>
      <c r="L228" s="57"/>
      <c r="M228" s="166">
        <f t="shared" ref="M228:N229" si="41">M229</f>
        <v>47600</v>
      </c>
      <c r="N228" s="166">
        <f>N229</f>
        <v>-47600</v>
      </c>
      <c r="O228" s="166">
        <f t="shared" si="33"/>
        <v>0</v>
      </c>
      <c r="P228" s="38"/>
      <c r="Q228" s="42"/>
      <c r="R228" s="42"/>
    </row>
    <row r="229" spans="9:18" s="36" customFormat="1" ht="15.75">
      <c r="I229" s="35">
        <v>4</v>
      </c>
      <c r="J229" s="36" t="s">
        <v>11</v>
      </c>
      <c r="K229" s="37"/>
      <c r="L229" s="37"/>
      <c r="M229" s="167">
        <f t="shared" si="41"/>
        <v>47600</v>
      </c>
      <c r="N229" s="167">
        <f t="shared" si="41"/>
        <v>-47600</v>
      </c>
      <c r="O229" s="167">
        <f t="shared" si="33"/>
        <v>0</v>
      </c>
      <c r="P229" s="38"/>
      <c r="Q229" s="42"/>
      <c r="R229" s="42"/>
    </row>
    <row r="230" spans="9:18" s="36" customFormat="1" ht="15.75">
      <c r="I230" s="35">
        <v>42</v>
      </c>
      <c r="J230" s="36" t="s">
        <v>20</v>
      </c>
      <c r="K230" s="37"/>
      <c r="L230" s="37"/>
      <c r="M230" s="167">
        <v>47600</v>
      </c>
      <c r="N230" s="167">
        <v>-47600</v>
      </c>
      <c r="O230" s="167">
        <f t="shared" ref="O230" si="42">M230+N230</f>
        <v>0</v>
      </c>
      <c r="P230" s="38"/>
      <c r="Q230" s="42"/>
      <c r="R230" s="42"/>
    </row>
    <row r="231" spans="9:18" s="36" customFormat="1" ht="15.75">
      <c r="I231" s="25" t="s">
        <v>297</v>
      </c>
      <c r="J231" s="25" t="s">
        <v>298</v>
      </c>
      <c r="K231" s="16"/>
      <c r="L231" s="16"/>
      <c r="M231" s="163">
        <f>M232</f>
        <v>163615.53</v>
      </c>
      <c r="N231" s="163">
        <f>N232</f>
        <v>-146092.54999999999</v>
      </c>
      <c r="O231" s="163">
        <f t="shared" ref="O231:O248" si="43">M231+N231</f>
        <v>17522.98000000001</v>
      </c>
      <c r="P231" s="38"/>
      <c r="Q231" s="42"/>
      <c r="R231" s="42"/>
    </row>
    <row r="232" spans="9:18" s="36" customFormat="1" ht="15.75">
      <c r="I232" s="114" t="s">
        <v>54</v>
      </c>
      <c r="J232" s="115"/>
      <c r="K232" s="116"/>
      <c r="L232" s="116"/>
      <c r="M232" s="164">
        <f>M233</f>
        <v>163615.53</v>
      </c>
      <c r="N232" s="164">
        <f>N233</f>
        <v>-146092.54999999999</v>
      </c>
      <c r="O232" s="164">
        <f>M232+N232</f>
        <v>17522.98000000001</v>
      </c>
      <c r="P232" s="38"/>
      <c r="Q232" s="42"/>
      <c r="R232" s="42"/>
    </row>
    <row r="233" spans="9:18" s="36" customFormat="1" ht="15.75">
      <c r="I233" s="55"/>
      <c r="J233" s="56" t="s">
        <v>312</v>
      </c>
      <c r="K233" s="57"/>
      <c r="L233" s="57"/>
      <c r="M233" s="166">
        <f t="shared" ref="M233" si="44">M234</f>
        <v>163615.53</v>
      </c>
      <c r="N233" s="166">
        <f>N234</f>
        <v>-146092.54999999999</v>
      </c>
      <c r="O233" s="166">
        <f t="shared" si="43"/>
        <v>17522.98000000001</v>
      </c>
      <c r="P233" s="38"/>
      <c r="Q233" s="42"/>
      <c r="R233" s="42"/>
    </row>
    <row r="234" spans="9:18" s="36" customFormat="1" ht="15.75">
      <c r="I234" s="35">
        <v>4</v>
      </c>
      <c r="J234" s="36" t="s">
        <v>11</v>
      </c>
      <c r="K234" s="37"/>
      <c r="L234" s="37"/>
      <c r="M234" s="167">
        <f>M235</f>
        <v>163615.53</v>
      </c>
      <c r="N234" s="167">
        <f>N235</f>
        <v>-146092.54999999999</v>
      </c>
      <c r="O234" s="167">
        <f t="shared" si="43"/>
        <v>17522.98000000001</v>
      </c>
      <c r="P234" s="38"/>
      <c r="Q234" s="42"/>
      <c r="R234" s="42"/>
    </row>
    <row r="235" spans="9:18" s="36" customFormat="1" ht="15.75">
      <c r="I235" s="35">
        <v>42</v>
      </c>
      <c r="J235" s="36" t="s">
        <v>118</v>
      </c>
      <c r="K235" s="37"/>
      <c r="L235" s="37"/>
      <c r="M235" s="167">
        <v>163615.53</v>
      </c>
      <c r="N235" s="167">
        <v>-146092.54999999999</v>
      </c>
      <c r="O235" s="167">
        <f t="shared" si="43"/>
        <v>17522.98000000001</v>
      </c>
      <c r="P235" s="38"/>
      <c r="Q235" s="42"/>
      <c r="R235" s="42"/>
    </row>
    <row r="236" spans="9:18" s="36" customFormat="1" ht="15.75">
      <c r="I236" s="25" t="s">
        <v>301</v>
      </c>
      <c r="J236" s="25" t="s">
        <v>302</v>
      </c>
      <c r="K236" s="16"/>
      <c r="L236" s="16"/>
      <c r="M236" s="163">
        <f>M237</f>
        <v>225000</v>
      </c>
      <c r="N236" s="163">
        <f>N237</f>
        <v>-225000</v>
      </c>
      <c r="O236" s="163">
        <f>M236+N236</f>
        <v>0</v>
      </c>
      <c r="P236" s="38"/>
      <c r="Q236" s="42"/>
      <c r="R236" s="42"/>
    </row>
    <row r="237" spans="9:18" s="36" customFormat="1" ht="15.75">
      <c r="I237" s="114" t="s">
        <v>54</v>
      </c>
      <c r="J237" s="115"/>
      <c r="K237" s="116"/>
      <c r="L237" s="116"/>
      <c r="M237" s="164">
        <f>M238</f>
        <v>225000</v>
      </c>
      <c r="N237" s="164">
        <f>N238</f>
        <v>-225000</v>
      </c>
      <c r="O237" s="164">
        <f>M237+N237</f>
        <v>0</v>
      </c>
      <c r="P237" s="38"/>
      <c r="Q237" s="42"/>
      <c r="R237" s="42"/>
    </row>
    <row r="238" spans="9:18" s="36" customFormat="1" ht="15.75">
      <c r="I238" s="55"/>
      <c r="J238" s="56" t="s">
        <v>313</v>
      </c>
      <c r="K238" s="57"/>
      <c r="L238" s="57"/>
      <c r="M238" s="166">
        <f t="shared" ref="M238:N239" si="45">M239</f>
        <v>225000</v>
      </c>
      <c r="N238" s="166">
        <f>N239</f>
        <v>-225000</v>
      </c>
      <c r="O238" s="166">
        <f t="shared" si="43"/>
        <v>0</v>
      </c>
      <c r="P238" s="38"/>
      <c r="Q238" s="42"/>
      <c r="R238" s="42"/>
    </row>
    <row r="239" spans="9:18" s="36" customFormat="1" ht="15.75">
      <c r="I239" s="35">
        <v>4</v>
      </c>
      <c r="J239" s="36" t="s">
        <v>11</v>
      </c>
      <c r="K239" s="37"/>
      <c r="L239" s="37"/>
      <c r="M239" s="167">
        <f t="shared" si="45"/>
        <v>225000</v>
      </c>
      <c r="N239" s="167">
        <f t="shared" si="45"/>
        <v>-225000</v>
      </c>
      <c r="O239" s="167">
        <f t="shared" si="43"/>
        <v>0</v>
      </c>
      <c r="P239" s="38"/>
      <c r="Q239" s="42"/>
      <c r="R239" s="42"/>
    </row>
    <row r="240" spans="9:18" s="36" customFormat="1" ht="15.75">
      <c r="I240" s="35">
        <v>42</v>
      </c>
      <c r="J240" s="36" t="s">
        <v>20</v>
      </c>
      <c r="K240" s="37"/>
      <c r="L240" s="37"/>
      <c r="M240" s="167">
        <v>225000</v>
      </c>
      <c r="N240" s="167">
        <v>-225000</v>
      </c>
      <c r="O240" s="167">
        <f t="shared" si="43"/>
        <v>0</v>
      </c>
      <c r="P240" s="38"/>
      <c r="Q240" s="42"/>
      <c r="R240" s="42"/>
    </row>
    <row r="241" spans="1:257" s="36" customFormat="1" ht="30.75" customHeight="1">
      <c r="A241" s="22"/>
      <c r="B241" s="22"/>
      <c r="C241" s="22"/>
      <c r="D241" s="22"/>
      <c r="E241" s="22"/>
      <c r="F241" s="22"/>
      <c r="G241" s="22"/>
      <c r="H241" s="22"/>
      <c r="I241" s="47" t="s">
        <v>55</v>
      </c>
      <c r="J241" s="22" t="s">
        <v>139</v>
      </c>
      <c r="K241" s="48" t="e">
        <f>K242+K325+K361+K383</f>
        <v>#REF!</v>
      </c>
      <c r="L241" s="48"/>
      <c r="M241" s="174">
        <f>SUM(M242+M325+M361+M383)</f>
        <v>1592583.71</v>
      </c>
      <c r="N241" s="174">
        <f>N242+N325+N361+N383</f>
        <v>-571669.17000000004</v>
      </c>
      <c r="O241" s="174">
        <f t="shared" si="43"/>
        <v>1020914.5399999999</v>
      </c>
      <c r="P241" s="49" t="e">
        <f>M241/K241*100</f>
        <v>#REF!</v>
      </c>
      <c r="Q241" s="38"/>
      <c r="R241" s="38"/>
    </row>
    <row r="242" spans="1:257" s="36" customFormat="1" ht="29.25" customHeight="1">
      <c r="A242" s="50"/>
      <c r="B242" s="50"/>
      <c r="C242" s="50"/>
      <c r="D242" s="50"/>
      <c r="E242" s="50"/>
      <c r="F242" s="50"/>
      <c r="G242" s="50"/>
      <c r="H242" s="50"/>
      <c r="I242" s="79" t="s">
        <v>56</v>
      </c>
      <c r="J242" s="25" t="s">
        <v>139</v>
      </c>
      <c r="K242" s="51" t="e">
        <f>K243+K304</f>
        <v>#REF!</v>
      </c>
      <c r="L242" s="51"/>
      <c r="M242" s="175">
        <f>M243+M292+M304</f>
        <v>1146561.8199999998</v>
      </c>
      <c r="N242" s="175">
        <f>N243+N304+N292</f>
        <v>-605054.99</v>
      </c>
      <c r="O242" s="175">
        <f>M242+N242</f>
        <v>541506.82999999984</v>
      </c>
      <c r="P242" s="52" t="e">
        <f>M242/K242*100</f>
        <v>#REF!</v>
      </c>
      <c r="Q242" s="38"/>
      <c r="R242" s="38"/>
    </row>
    <row r="243" spans="1:257" s="2" customFormat="1" ht="18" customHeight="1">
      <c r="A243" s="46"/>
      <c r="B243" s="46"/>
      <c r="C243" s="46"/>
      <c r="D243" s="46"/>
      <c r="E243" s="46"/>
      <c r="F243" s="46"/>
      <c r="G243" s="46"/>
      <c r="H243" s="46"/>
      <c r="I243" s="22" t="s">
        <v>57</v>
      </c>
      <c r="J243" s="22" t="s">
        <v>130</v>
      </c>
      <c r="K243" s="23" t="e">
        <f>K293</f>
        <v>#REF!</v>
      </c>
      <c r="L243" s="23"/>
      <c r="M243" s="162">
        <f>M244+M254+M265+M270+M275+M280</f>
        <v>1006653.4</v>
      </c>
      <c r="N243" s="162">
        <f>N244+N254+N265++N270+N275+N280</f>
        <v>-505054.99</v>
      </c>
      <c r="O243" s="162">
        <f>M243+N243</f>
        <v>501598.41000000003</v>
      </c>
      <c r="P243" s="24" t="e">
        <f>M243/K243*100</f>
        <v>#REF!</v>
      </c>
      <c r="Q243" s="83"/>
      <c r="R243" s="83"/>
    </row>
    <row r="244" spans="1:257" s="64" customFormat="1" ht="15.75">
      <c r="A244" s="60"/>
      <c r="B244" s="60"/>
      <c r="C244" s="60"/>
      <c r="D244" s="60"/>
      <c r="E244" s="60"/>
      <c r="F244" s="60"/>
      <c r="G244" s="60"/>
      <c r="H244" s="60"/>
      <c r="I244" s="61" t="s">
        <v>58</v>
      </c>
      <c r="J244" s="61" t="s">
        <v>131</v>
      </c>
      <c r="K244" s="62" t="e">
        <f>K247</f>
        <v>#REF!</v>
      </c>
      <c r="L244" s="62"/>
      <c r="M244" s="182">
        <f>M245</f>
        <v>455000</v>
      </c>
      <c r="N244" s="182">
        <f>N245</f>
        <v>-3000</v>
      </c>
      <c r="O244" s="182">
        <f t="shared" si="43"/>
        <v>452000</v>
      </c>
      <c r="P244" s="63" t="e">
        <f>M244/K244*100</f>
        <v>#REF!</v>
      </c>
      <c r="Q244" s="83"/>
      <c r="R244" s="83"/>
      <c r="S244" s="2"/>
      <c r="T244" s="2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60"/>
      <c r="EZ244" s="60"/>
      <c r="FA244" s="60"/>
      <c r="FB244" s="60"/>
      <c r="FC244" s="60"/>
      <c r="FD244" s="60"/>
      <c r="FE244" s="60"/>
      <c r="FF244" s="60"/>
      <c r="FG244" s="60"/>
      <c r="FH244" s="60"/>
      <c r="FI244" s="60"/>
      <c r="FJ244" s="60"/>
      <c r="FK244" s="60"/>
      <c r="FL244" s="60"/>
      <c r="FM244" s="60"/>
      <c r="FN244" s="60"/>
      <c r="FO244" s="60"/>
      <c r="FP244" s="60"/>
      <c r="FQ244" s="60"/>
      <c r="FR244" s="60"/>
      <c r="FS244" s="60"/>
      <c r="FT244" s="60"/>
      <c r="FU244" s="60"/>
      <c r="FV244" s="60"/>
      <c r="FW244" s="60"/>
      <c r="FX244" s="60"/>
      <c r="FY244" s="60"/>
      <c r="FZ244" s="60"/>
      <c r="GA244" s="60"/>
      <c r="GB244" s="60"/>
      <c r="GC244" s="60"/>
      <c r="GD244" s="60"/>
      <c r="GE244" s="60"/>
      <c r="GF244" s="60"/>
      <c r="GG244" s="60"/>
      <c r="GH244" s="60"/>
      <c r="GI244" s="60"/>
      <c r="GJ244" s="60"/>
      <c r="GK244" s="60"/>
      <c r="GL244" s="60"/>
      <c r="GM244" s="60"/>
      <c r="GN244" s="60"/>
      <c r="GO244" s="60"/>
      <c r="GP244" s="60"/>
      <c r="GQ244" s="60"/>
      <c r="GR244" s="60"/>
      <c r="GS244" s="60"/>
      <c r="GT244" s="60"/>
      <c r="GU244" s="60"/>
      <c r="GV244" s="60"/>
      <c r="GW244" s="60"/>
      <c r="GX244" s="60"/>
      <c r="GY244" s="60"/>
      <c r="GZ244" s="60"/>
      <c r="HA244" s="60"/>
      <c r="HB244" s="60"/>
      <c r="HC244" s="60"/>
      <c r="HD244" s="60"/>
      <c r="HE244" s="60"/>
      <c r="HF244" s="60"/>
      <c r="HG244" s="60"/>
      <c r="HH244" s="60"/>
      <c r="HI244" s="60"/>
      <c r="HJ244" s="60"/>
      <c r="HK244" s="60"/>
      <c r="HL244" s="60"/>
      <c r="HM244" s="60"/>
      <c r="HN244" s="60"/>
      <c r="HO244" s="60"/>
      <c r="HP244" s="60"/>
      <c r="HQ244" s="60"/>
      <c r="HR244" s="60"/>
      <c r="HS244" s="60"/>
      <c r="HT244" s="60"/>
      <c r="HU244" s="60"/>
      <c r="HV244" s="60"/>
      <c r="HW244" s="60"/>
      <c r="HX244" s="60"/>
      <c r="HY244" s="60"/>
      <c r="HZ244" s="60"/>
      <c r="IA244" s="60"/>
      <c r="IB244" s="60"/>
      <c r="IC244" s="60"/>
      <c r="ID244" s="60"/>
      <c r="IE244" s="60"/>
      <c r="IF244" s="60"/>
      <c r="IG244" s="60"/>
      <c r="IH244" s="60"/>
      <c r="II244" s="60"/>
      <c r="IJ244" s="60"/>
      <c r="IK244" s="60"/>
      <c r="IL244" s="60"/>
      <c r="IM244" s="60"/>
      <c r="IN244" s="60"/>
      <c r="IO244" s="60"/>
      <c r="IP244" s="60"/>
      <c r="IQ244" s="60"/>
      <c r="IR244" s="60"/>
      <c r="IS244" s="60"/>
      <c r="IT244" s="60"/>
      <c r="IU244" s="60"/>
      <c r="IV244" s="60"/>
      <c r="IW244" s="60"/>
    </row>
    <row r="245" spans="1:257" s="2" customFormat="1" ht="15.75">
      <c r="A245" s="45"/>
      <c r="B245" s="45"/>
      <c r="C245" s="45"/>
      <c r="D245" s="45"/>
      <c r="E245" s="45"/>
      <c r="F245" s="45"/>
      <c r="G245" s="45"/>
      <c r="H245" s="45"/>
      <c r="I245" s="114" t="s">
        <v>100</v>
      </c>
      <c r="J245" s="115"/>
      <c r="K245" s="116"/>
      <c r="L245" s="116"/>
      <c r="M245" s="164">
        <f>M246+M251</f>
        <v>455000</v>
      </c>
      <c r="N245" s="164">
        <f>N246+N251</f>
        <v>-3000</v>
      </c>
      <c r="O245" s="164">
        <f t="shared" si="43"/>
        <v>452000</v>
      </c>
      <c r="P245" s="30"/>
      <c r="Q245" s="83"/>
      <c r="R245" s="83"/>
    </row>
    <row r="246" spans="1:257" s="59" customFormat="1" ht="18" customHeight="1">
      <c r="A246" s="54"/>
      <c r="B246" s="54"/>
      <c r="C246" s="54"/>
      <c r="D246" s="54"/>
      <c r="E246" s="54"/>
      <c r="F246" s="54"/>
      <c r="G246" s="54"/>
      <c r="H246" s="54"/>
      <c r="I246" s="55"/>
      <c r="J246" s="56" t="s">
        <v>312</v>
      </c>
      <c r="K246" s="57"/>
      <c r="L246" s="57"/>
      <c r="M246" s="166">
        <f>M247</f>
        <v>435000</v>
      </c>
      <c r="N246" s="166">
        <f>N247</f>
        <v>33.599999999999909</v>
      </c>
      <c r="O246" s="166">
        <f t="shared" si="43"/>
        <v>435033.59999999998</v>
      </c>
      <c r="P246" s="58"/>
      <c r="Q246" s="83"/>
      <c r="R246" s="83"/>
      <c r="S246" s="2"/>
      <c r="T246" s="2"/>
    </row>
    <row r="247" spans="1:257" s="36" customFormat="1" ht="15.75">
      <c r="I247" s="35">
        <v>3</v>
      </c>
      <c r="J247" s="36" t="s">
        <v>10</v>
      </c>
      <c r="K247" s="37" t="e">
        <f>#REF!+K248</f>
        <v>#REF!</v>
      </c>
      <c r="L247" s="37"/>
      <c r="M247" s="167">
        <f>M248+M250</f>
        <v>435000</v>
      </c>
      <c r="N247" s="167">
        <f>N248+N250</f>
        <v>33.599999999999909</v>
      </c>
      <c r="O247" s="167">
        <f t="shared" si="43"/>
        <v>435033.59999999998</v>
      </c>
      <c r="P247" s="38" t="e">
        <f>M247/K247*100</f>
        <v>#REF!</v>
      </c>
      <c r="Q247" s="38"/>
      <c r="R247" s="38"/>
    </row>
    <row r="248" spans="1:257" s="36" customFormat="1" ht="15.75">
      <c r="I248" s="35">
        <v>36</v>
      </c>
      <c r="J248" s="36" t="s">
        <v>119</v>
      </c>
      <c r="K248" s="37" t="e">
        <f>#REF!</f>
        <v>#REF!</v>
      </c>
      <c r="L248" s="37"/>
      <c r="M248" s="167">
        <v>427000</v>
      </c>
      <c r="N248" s="167">
        <v>-1966.4</v>
      </c>
      <c r="O248" s="167">
        <f t="shared" si="43"/>
        <v>425033.6</v>
      </c>
      <c r="P248" s="38" t="e">
        <f>M248/K248*100</f>
        <v>#REF!</v>
      </c>
      <c r="Q248" s="38"/>
      <c r="R248" s="38"/>
    </row>
    <row r="249" spans="1:257" s="43" customFormat="1" hidden="1">
      <c r="M249" s="183"/>
      <c r="N249" s="183"/>
      <c r="O249" s="183"/>
    </row>
    <row r="250" spans="1:257" s="43" customFormat="1" ht="15.75">
      <c r="I250" s="93">
        <v>37</v>
      </c>
      <c r="J250" s="94" t="s">
        <v>150</v>
      </c>
      <c r="K250" s="44"/>
      <c r="L250" s="44"/>
      <c r="M250" s="184">
        <v>8000</v>
      </c>
      <c r="N250" s="184">
        <v>2000</v>
      </c>
      <c r="O250" s="184">
        <f t="shared" ref="O250:O297" si="46">M250+N250</f>
        <v>10000</v>
      </c>
    </row>
    <row r="251" spans="1:257" s="59" customFormat="1" ht="18" customHeight="1">
      <c r="A251" s="54"/>
      <c r="B251" s="54"/>
      <c r="C251" s="54"/>
      <c r="D251" s="54"/>
      <c r="E251" s="54"/>
      <c r="F251" s="54"/>
      <c r="G251" s="54"/>
      <c r="H251" s="54"/>
      <c r="I251" s="55"/>
      <c r="J251" s="56" t="s">
        <v>313</v>
      </c>
      <c r="K251" s="57"/>
      <c r="L251" s="57"/>
      <c r="M251" s="166">
        <f>M252</f>
        <v>20000</v>
      </c>
      <c r="N251" s="166">
        <f>N252</f>
        <v>-3033.6</v>
      </c>
      <c r="O251" s="166">
        <f t="shared" si="46"/>
        <v>16966.400000000001</v>
      </c>
      <c r="P251" s="58"/>
      <c r="Q251" s="83"/>
      <c r="R251" s="83"/>
      <c r="S251" s="2"/>
      <c r="T251" s="2"/>
    </row>
    <row r="252" spans="1:257" s="36" customFormat="1" ht="15.75">
      <c r="I252" s="35">
        <v>3</v>
      </c>
      <c r="J252" s="36" t="s">
        <v>10</v>
      </c>
      <c r="K252" s="37" t="e">
        <f>#REF!+K253</f>
        <v>#REF!</v>
      </c>
      <c r="L252" s="37"/>
      <c r="M252" s="167">
        <f>M253</f>
        <v>20000</v>
      </c>
      <c r="N252" s="167">
        <f>N253</f>
        <v>-3033.6</v>
      </c>
      <c r="O252" s="167">
        <f t="shared" si="46"/>
        <v>16966.400000000001</v>
      </c>
      <c r="P252" s="38" t="e">
        <f>M252/K252*100</f>
        <v>#REF!</v>
      </c>
      <c r="Q252" s="38"/>
      <c r="R252" s="38"/>
    </row>
    <row r="253" spans="1:257" s="36" customFormat="1" ht="15.75">
      <c r="I253" s="35">
        <v>36</v>
      </c>
      <c r="J253" s="36" t="s">
        <v>119</v>
      </c>
      <c r="K253" s="37" t="e">
        <f>#REF!</f>
        <v>#REF!</v>
      </c>
      <c r="L253" s="37"/>
      <c r="M253" s="167">
        <v>20000</v>
      </c>
      <c r="N253" s="167">
        <v>-3033.6</v>
      </c>
      <c r="O253" s="167">
        <f t="shared" si="46"/>
        <v>16966.400000000001</v>
      </c>
      <c r="P253" s="38" t="e">
        <f>M253/K253*100</f>
        <v>#REF!</v>
      </c>
      <c r="Q253" s="38"/>
      <c r="R253" s="38"/>
    </row>
    <row r="254" spans="1:257" s="43" customFormat="1" ht="15.75">
      <c r="I254" s="252" t="s">
        <v>281</v>
      </c>
      <c r="J254" s="252" t="s">
        <v>282</v>
      </c>
      <c r="K254" s="252"/>
      <c r="L254" s="252"/>
      <c r="M254" s="253">
        <f>M255</f>
        <v>475000</v>
      </c>
      <c r="N254" s="253">
        <f>N255</f>
        <v>-475000</v>
      </c>
      <c r="O254" s="253">
        <f t="shared" si="46"/>
        <v>0</v>
      </c>
    </row>
    <row r="255" spans="1:257" s="2" customFormat="1" ht="15.75">
      <c r="A255" s="45"/>
      <c r="B255" s="45"/>
      <c r="C255" s="45"/>
      <c r="D255" s="45"/>
      <c r="E255" s="45"/>
      <c r="F255" s="45"/>
      <c r="G255" s="45"/>
      <c r="H255" s="45"/>
      <c r="I255" s="114" t="s">
        <v>100</v>
      </c>
      <c r="J255" s="115"/>
      <c r="K255" s="116"/>
      <c r="L255" s="116"/>
      <c r="M255" s="164">
        <f>M256+M259+M262</f>
        <v>475000</v>
      </c>
      <c r="N255" s="164">
        <f>N256+N259+N262</f>
        <v>-475000</v>
      </c>
      <c r="O255" s="164">
        <f t="shared" si="46"/>
        <v>0</v>
      </c>
      <c r="P255" s="30"/>
      <c r="Q255" s="83"/>
      <c r="R255" s="83"/>
    </row>
    <row r="256" spans="1:257" s="2" customFormat="1" ht="15.75">
      <c r="A256" s="45"/>
      <c r="B256" s="45"/>
      <c r="C256" s="45"/>
      <c r="D256" s="45"/>
      <c r="E256" s="45"/>
      <c r="F256" s="45"/>
      <c r="G256" s="45"/>
      <c r="H256" s="45"/>
      <c r="I256" s="104"/>
      <c r="J256" s="105" t="s">
        <v>304</v>
      </c>
      <c r="K256" s="106"/>
      <c r="L256" s="106"/>
      <c r="M256" s="181">
        <f t="shared" ref="M256:N256" si="47">M257</f>
        <v>160862.06</v>
      </c>
      <c r="N256" s="181">
        <f t="shared" si="47"/>
        <v>-160862.06</v>
      </c>
      <c r="O256" s="181">
        <f t="shared" si="46"/>
        <v>0</v>
      </c>
      <c r="P256" s="30"/>
      <c r="Q256" s="83"/>
      <c r="R256" s="83"/>
    </row>
    <row r="257" spans="1:18" s="43" customFormat="1" ht="15.75">
      <c r="I257" s="93">
        <v>4</v>
      </c>
      <c r="J257" s="94" t="s">
        <v>11</v>
      </c>
      <c r="K257" s="94"/>
      <c r="L257" s="94"/>
      <c r="M257" s="184">
        <f>M258</f>
        <v>160862.06</v>
      </c>
      <c r="N257" s="184">
        <f>N258</f>
        <v>-160862.06</v>
      </c>
      <c r="O257" s="184">
        <f t="shared" si="46"/>
        <v>0</v>
      </c>
      <c r="P257" s="119"/>
    </row>
    <row r="258" spans="1:18" s="43" customFormat="1" ht="15.75">
      <c r="I258" s="93">
        <v>42</v>
      </c>
      <c r="J258" s="94" t="s">
        <v>20</v>
      </c>
      <c r="K258" s="94"/>
      <c r="L258" s="94"/>
      <c r="M258" s="184">
        <v>160862.06</v>
      </c>
      <c r="N258" s="184">
        <v>-160862.06</v>
      </c>
      <c r="O258" s="184">
        <f t="shared" si="46"/>
        <v>0</v>
      </c>
      <c r="P258" s="119"/>
    </row>
    <row r="259" spans="1:18" s="43" customFormat="1" ht="15.75">
      <c r="I259" s="104"/>
      <c r="J259" s="105" t="s">
        <v>313</v>
      </c>
      <c r="K259" s="106"/>
      <c r="L259" s="106"/>
      <c r="M259" s="181">
        <f t="shared" ref="M259:N259" si="48">M260</f>
        <v>171700</v>
      </c>
      <c r="N259" s="181">
        <f t="shared" si="48"/>
        <v>-171700</v>
      </c>
      <c r="O259" s="181">
        <f>M259+N259</f>
        <v>0</v>
      </c>
    </row>
    <row r="260" spans="1:18" s="43" customFormat="1" ht="15.75">
      <c r="I260" s="93">
        <v>4</v>
      </c>
      <c r="J260" s="94" t="s">
        <v>11</v>
      </c>
      <c r="K260" s="94"/>
      <c r="L260" s="94"/>
      <c r="M260" s="184">
        <f>M261</f>
        <v>171700</v>
      </c>
      <c r="N260" s="184">
        <f>N261</f>
        <v>-171700</v>
      </c>
      <c r="O260" s="184">
        <f t="shared" si="46"/>
        <v>0</v>
      </c>
    </row>
    <row r="261" spans="1:18" s="43" customFormat="1" ht="15.75">
      <c r="I261" s="93">
        <v>42</v>
      </c>
      <c r="J261" s="94" t="s">
        <v>20</v>
      </c>
      <c r="K261" s="94"/>
      <c r="L261" s="94"/>
      <c r="M261" s="184">
        <v>171700</v>
      </c>
      <c r="N261" s="184">
        <v>-171700</v>
      </c>
      <c r="O261" s="184">
        <f t="shared" si="46"/>
        <v>0</v>
      </c>
    </row>
    <row r="262" spans="1:18" s="43" customFormat="1" ht="15.75">
      <c r="I262" s="104"/>
      <c r="J262" s="105" t="s">
        <v>312</v>
      </c>
      <c r="K262" s="106"/>
      <c r="L262" s="106"/>
      <c r="M262" s="181">
        <f t="shared" ref="M262:N262" si="49">M263</f>
        <v>142437.94</v>
      </c>
      <c r="N262" s="181">
        <f t="shared" si="49"/>
        <v>-142437.94</v>
      </c>
      <c r="O262" s="181">
        <f t="shared" si="46"/>
        <v>0</v>
      </c>
    </row>
    <row r="263" spans="1:18" s="43" customFormat="1" ht="15.75">
      <c r="I263" s="93">
        <v>4</v>
      </c>
      <c r="J263" s="94" t="s">
        <v>11</v>
      </c>
      <c r="K263" s="94"/>
      <c r="L263" s="94"/>
      <c r="M263" s="184">
        <f>M264</f>
        <v>142437.94</v>
      </c>
      <c r="N263" s="184">
        <f>N264</f>
        <v>-142437.94</v>
      </c>
      <c r="O263" s="184">
        <f t="shared" si="46"/>
        <v>0</v>
      </c>
    </row>
    <row r="264" spans="1:18" s="43" customFormat="1" ht="15.75">
      <c r="I264" s="93">
        <v>42</v>
      </c>
      <c r="J264" s="94" t="s">
        <v>20</v>
      </c>
      <c r="K264" s="94"/>
      <c r="L264" s="94"/>
      <c r="M264" s="184">
        <v>142437.94</v>
      </c>
      <c r="N264" s="184">
        <v>-142437.94</v>
      </c>
      <c r="O264" s="184">
        <f t="shared" si="46"/>
        <v>0</v>
      </c>
    </row>
    <row r="265" spans="1:18" s="43" customFormat="1" ht="15.75">
      <c r="I265" s="252" t="s">
        <v>283</v>
      </c>
      <c r="J265" s="252" t="s">
        <v>284</v>
      </c>
      <c r="K265" s="252"/>
      <c r="L265" s="252"/>
      <c r="M265" s="253">
        <f>M266</f>
        <v>27000</v>
      </c>
      <c r="N265" s="253">
        <f t="shared" ref="N265" si="50">N266</f>
        <v>-27000</v>
      </c>
      <c r="O265" s="253">
        <f t="shared" si="46"/>
        <v>0</v>
      </c>
    </row>
    <row r="266" spans="1:18" s="2" customFormat="1" ht="15.75">
      <c r="A266" s="45"/>
      <c r="B266" s="45"/>
      <c r="C266" s="45"/>
      <c r="D266" s="45"/>
      <c r="E266" s="45"/>
      <c r="F266" s="45"/>
      <c r="G266" s="45"/>
      <c r="H266" s="45"/>
      <c r="I266" s="114" t="s">
        <v>100</v>
      </c>
      <c r="J266" s="115"/>
      <c r="K266" s="116"/>
      <c r="L266" s="116"/>
      <c r="M266" s="164">
        <f>M267</f>
        <v>27000</v>
      </c>
      <c r="N266" s="164">
        <f>N267</f>
        <v>-27000</v>
      </c>
      <c r="O266" s="164">
        <f>M266+N266</f>
        <v>0</v>
      </c>
      <c r="P266" s="30"/>
      <c r="Q266" s="83"/>
      <c r="R266" s="83"/>
    </row>
    <row r="267" spans="1:18" s="43" customFormat="1" ht="32.25" customHeight="1">
      <c r="I267" s="105"/>
      <c r="J267" s="105" t="s">
        <v>321</v>
      </c>
      <c r="K267" s="106"/>
      <c r="L267" s="106"/>
      <c r="M267" s="181">
        <f t="shared" ref="M267:N267" si="51">M268</f>
        <v>27000</v>
      </c>
      <c r="N267" s="181">
        <f t="shared" si="51"/>
        <v>-27000</v>
      </c>
      <c r="O267" s="181">
        <f t="shared" si="46"/>
        <v>0</v>
      </c>
    </row>
    <row r="268" spans="1:18" s="43" customFormat="1" ht="15.75">
      <c r="I268" s="93">
        <v>4</v>
      </c>
      <c r="J268" s="94" t="s">
        <v>11</v>
      </c>
      <c r="K268" s="94"/>
      <c r="L268" s="94"/>
      <c r="M268" s="184">
        <f>M269</f>
        <v>27000</v>
      </c>
      <c r="N268" s="184">
        <f>N269</f>
        <v>-27000</v>
      </c>
      <c r="O268" s="184">
        <f t="shared" si="46"/>
        <v>0</v>
      </c>
    </row>
    <row r="269" spans="1:18" s="43" customFormat="1" ht="15.75">
      <c r="I269" s="257">
        <v>42</v>
      </c>
      <c r="J269" s="94" t="s">
        <v>20</v>
      </c>
      <c r="K269" s="94"/>
      <c r="L269" s="94"/>
      <c r="M269" s="184">
        <v>27000</v>
      </c>
      <c r="N269" s="184">
        <v>-27000</v>
      </c>
      <c r="O269" s="184">
        <f t="shared" ref="O269:O274" si="52">M269+N269</f>
        <v>0</v>
      </c>
    </row>
    <row r="270" spans="1:18" s="43" customFormat="1" ht="15.75">
      <c r="I270" s="252" t="s">
        <v>285</v>
      </c>
      <c r="J270" s="252" t="s">
        <v>286</v>
      </c>
      <c r="K270" s="252"/>
      <c r="L270" s="252"/>
      <c r="M270" s="253">
        <f t="shared" ref="M270:N271" si="53">M271</f>
        <v>0</v>
      </c>
      <c r="N270" s="253">
        <f t="shared" si="53"/>
        <v>0</v>
      </c>
      <c r="O270" s="253">
        <f t="shared" si="52"/>
        <v>0</v>
      </c>
    </row>
    <row r="271" spans="1:18" s="43" customFormat="1" ht="15.75">
      <c r="I271" s="114" t="s">
        <v>100</v>
      </c>
      <c r="J271" s="115"/>
      <c r="K271" s="116"/>
      <c r="L271" s="116"/>
      <c r="M271" s="164">
        <f t="shared" si="53"/>
        <v>0</v>
      </c>
      <c r="N271" s="164">
        <f t="shared" si="53"/>
        <v>0</v>
      </c>
      <c r="O271" s="164">
        <f t="shared" si="52"/>
        <v>0</v>
      </c>
    </row>
    <row r="272" spans="1:18" s="43" customFormat="1" ht="15.75">
      <c r="I272" s="104"/>
      <c r="J272" s="105" t="s">
        <v>313</v>
      </c>
      <c r="K272" s="106"/>
      <c r="L272" s="106"/>
      <c r="M272" s="181">
        <f t="shared" ref="M272" si="54">M273</f>
        <v>0</v>
      </c>
      <c r="N272" s="181">
        <f>N273</f>
        <v>0</v>
      </c>
      <c r="O272" s="181">
        <f t="shared" si="52"/>
        <v>0</v>
      </c>
    </row>
    <row r="273" spans="9:15" s="43" customFormat="1" ht="15.75">
      <c r="I273" s="93">
        <v>4</v>
      </c>
      <c r="J273" s="94" t="s">
        <v>11</v>
      </c>
      <c r="K273" s="94"/>
      <c r="L273" s="94"/>
      <c r="M273" s="184">
        <f>M274</f>
        <v>0</v>
      </c>
      <c r="N273" s="184">
        <f>N274</f>
        <v>0</v>
      </c>
      <c r="O273" s="184">
        <f t="shared" si="52"/>
        <v>0</v>
      </c>
    </row>
    <row r="274" spans="9:15" s="43" customFormat="1" ht="15.75">
      <c r="I274" s="93">
        <v>42</v>
      </c>
      <c r="J274" s="94" t="s">
        <v>20</v>
      </c>
      <c r="K274" s="94"/>
      <c r="L274" s="94"/>
      <c r="M274" s="184">
        <v>0</v>
      </c>
      <c r="N274" s="184">
        <v>0</v>
      </c>
      <c r="O274" s="184">
        <f t="shared" si="52"/>
        <v>0</v>
      </c>
    </row>
    <row r="275" spans="9:15" s="43" customFormat="1" ht="15.75">
      <c r="I275" s="252" t="s">
        <v>287</v>
      </c>
      <c r="J275" s="252" t="s">
        <v>288</v>
      </c>
      <c r="K275" s="252"/>
      <c r="L275" s="252"/>
      <c r="M275" s="253">
        <f t="shared" ref="M275:N276" si="55">M276</f>
        <v>0</v>
      </c>
      <c r="N275" s="253">
        <f t="shared" si="55"/>
        <v>0</v>
      </c>
      <c r="O275" s="253">
        <f t="shared" si="46"/>
        <v>0</v>
      </c>
    </row>
    <row r="276" spans="9:15" s="43" customFormat="1" ht="15.75">
      <c r="I276" s="114" t="s">
        <v>100</v>
      </c>
      <c r="J276" s="115"/>
      <c r="K276" s="116"/>
      <c r="L276" s="116"/>
      <c r="M276" s="164">
        <f t="shared" si="55"/>
        <v>0</v>
      </c>
      <c r="N276" s="164">
        <f t="shared" si="55"/>
        <v>0</v>
      </c>
      <c r="O276" s="164">
        <f t="shared" si="46"/>
        <v>0</v>
      </c>
    </row>
    <row r="277" spans="9:15" s="43" customFormat="1" ht="15.75">
      <c r="I277" s="104"/>
      <c r="J277" s="105" t="s">
        <v>312</v>
      </c>
      <c r="K277" s="106"/>
      <c r="L277" s="106"/>
      <c r="M277" s="181">
        <f t="shared" ref="M277:N277" si="56">M278</f>
        <v>0</v>
      </c>
      <c r="N277" s="181">
        <f t="shared" si="56"/>
        <v>0</v>
      </c>
      <c r="O277" s="181">
        <f t="shared" si="46"/>
        <v>0</v>
      </c>
    </row>
    <row r="278" spans="9:15" s="43" customFormat="1" ht="15.75">
      <c r="I278" s="93">
        <v>4</v>
      </c>
      <c r="J278" s="94" t="s">
        <v>11</v>
      </c>
      <c r="K278" s="94"/>
      <c r="L278" s="94"/>
      <c r="M278" s="184">
        <f>M279</f>
        <v>0</v>
      </c>
      <c r="N278" s="184">
        <v>0</v>
      </c>
      <c r="O278" s="184">
        <f t="shared" si="46"/>
        <v>0</v>
      </c>
    </row>
    <row r="279" spans="9:15" s="43" customFormat="1" ht="15.75">
      <c r="I279" s="93">
        <v>42</v>
      </c>
      <c r="J279" s="94" t="s">
        <v>20</v>
      </c>
      <c r="K279" s="94"/>
      <c r="L279" s="94"/>
      <c r="M279" s="184">
        <v>0</v>
      </c>
      <c r="N279" s="184">
        <v>0</v>
      </c>
      <c r="O279" s="184">
        <f t="shared" si="46"/>
        <v>0</v>
      </c>
    </row>
    <row r="280" spans="9:15" s="43" customFormat="1" ht="15.75">
      <c r="I280" s="252" t="s">
        <v>333</v>
      </c>
      <c r="J280" s="252" t="s">
        <v>334</v>
      </c>
      <c r="K280" s="252"/>
      <c r="L280" s="252"/>
      <c r="M280" s="253">
        <f t="shared" ref="M280" si="57">M281</f>
        <v>49653.4</v>
      </c>
      <c r="N280" s="253">
        <f>N281</f>
        <v>-54.99</v>
      </c>
      <c r="O280" s="253">
        <f t="shared" ref="O280:O291" si="58">M280+N280</f>
        <v>49598.41</v>
      </c>
    </row>
    <row r="281" spans="9:15" s="43" customFormat="1" ht="15.75">
      <c r="I281" s="114" t="s">
        <v>100</v>
      </c>
      <c r="J281" s="115"/>
      <c r="K281" s="116"/>
      <c r="L281" s="116"/>
      <c r="M281" s="164">
        <f>M282+M287</f>
        <v>49653.4</v>
      </c>
      <c r="N281" s="164">
        <f>N282+N287</f>
        <v>-54.99</v>
      </c>
      <c r="O281" s="164">
        <f t="shared" si="58"/>
        <v>49598.41</v>
      </c>
    </row>
    <row r="282" spans="9:15" s="43" customFormat="1" ht="15.75">
      <c r="I282" s="104"/>
      <c r="J282" s="105" t="s">
        <v>313</v>
      </c>
      <c r="K282" s="106"/>
      <c r="L282" s="106"/>
      <c r="M282" s="181">
        <f>M285+M283</f>
        <v>39722.720000000001</v>
      </c>
      <c r="N282" s="181">
        <f>N285+N283</f>
        <v>-43.99</v>
      </c>
      <c r="O282" s="181">
        <f t="shared" si="58"/>
        <v>39678.730000000003</v>
      </c>
    </row>
    <row r="283" spans="9:15" s="43" customFormat="1" ht="15.75">
      <c r="I283" s="35">
        <v>3</v>
      </c>
      <c r="J283" s="36" t="s">
        <v>10</v>
      </c>
      <c r="K283" s="100"/>
      <c r="L283" s="100"/>
      <c r="M283" s="178">
        <f>M284</f>
        <v>27667.15</v>
      </c>
      <c r="N283" s="178">
        <f>N284</f>
        <v>-54.99</v>
      </c>
      <c r="O283" s="178">
        <f t="shared" si="58"/>
        <v>27612.16</v>
      </c>
    </row>
    <row r="284" spans="9:15" s="43" customFormat="1" ht="15.75">
      <c r="I284" s="35">
        <v>32</v>
      </c>
      <c r="J284" s="36" t="s">
        <v>17</v>
      </c>
      <c r="K284" s="100"/>
      <c r="L284" s="100"/>
      <c r="M284" s="178">
        <v>27667.15</v>
      </c>
      <c r="N284" s="178">
        <v>-54.99</v>
      </c>
      <c r="O284" s="178">
        <f t="shared" si="58"/>
        <v>27612.16</v>
      </c>
    </row>
    <row r="285" spans="9:15" s="43" customFormat="1" ht="15.75">
      <c r="I285" s="93">
        <v>4</v>
      </c>
      <c r="J285" s="94" t="s">
        <v>11</v>
      </c>
      <c r="K285" s="94"/>
      <c r="L285" s="94"/>
      <c r="M285" s="184">
        <f>M286</f>
        <v>12055.57</v>
      </c>
      <c r="N285" s="184">
        <f>N286</f>
        <v>11</v>
      </c>
      <c r="O285" s="184">
        <f t="shared" si="58"/>
        <v>12066.57</v>
      </c>
    </row>
    <row r="286" spans="9:15" s="43" customFormat="1" ht="15.75">
      <c r="I286" s="93">
        <v>42</v>
      </c>
      <c r="J286" s="94" t="s">
        <v>20</v>
      </c>
      <c r="K286" s="94"/>
      <c r="L286" s="94"/>
      <c r="M286" s="184">
        <v>12055.57</v>
      </c>
      <c r="N286" s="184">
        <v>11</v>
      </c>
      <c r="O286" s="184">
        <f t="shared" si="58"/>
        <v>12066.57</v>
      </c>
    </row>
    <row r="287" spans="9:15" s="43" customFormat="1" ht="15.75">
      <c r="I287" s="104"/>
      <c r="J287" s="105" t="s">
        <v>312</v>
      </c>
      <c r="K287" s="106"/>
      <c r="L287" s="106"/>
      <c r="M287" s="181">
        <f>M290</f>
        <v>9930.68</v>
      </c>
      <c r="N287" s="181">
        <f>N288+N290</f>
        <v>-11</v>
      </c>
      <c r="O287" s="181">
        <f t="shared" si="58"/>
        <v>9919.68</v>
      </c>
    </row>
    <row r="288" spans="9:15" s="43" customFormat="1" ht="15.75">
      <c r="I288" s="35">
        <v>3</v>
      </c>
      <c r="J288" s="36" t="s">
        <v>10</v>
      </c>
      <c r="K288" s="100"/>
      <c r="L288" s="100"/>
      <c r="M288" s="178">
        <f>M289</f>
        <v>0</v>
      </c>
      <c r="N288" s="178">
        <f>N289</f>
        <v>0</v>
      </c>
      <c r="O288" s="178">
        <f t="shared" si="58"/>
        <v>0</v>
      </c>
    </row>
    <row r="289" spans="1:257" s="43" customFormat="1" ht="15.75">
      <c r="I289" s="35">
        <v>32</v>
      </c>
      <c r="J289" s="36" t="s">
        <v>17</v>
      </c>
      <c r="K289" s="100"/>
      <c r="L289" s="100"/>
      <c r="M289" s="178">
        <v>0</v>
      </c>
      <c r="N289" s="178">
        <v>0</v>
      </c>
      <c r="O289" s="178">
        <f t="shared" si="58"/>
        <v>0</v>
      </c>
    </row>
    <row r="290" spans="1:257" s="43" customFormat="1" ht="15.75">
      <c r="I290" s="93">
        <v>4</v>
      </c>
      <c r="J290" s="94" t="s">
        <v>11</v>
      </c>
      <c r="K290" s="94"/>
      <c r="L290" s="94"/>
      <c r="M290" s="184">
        <f>M291</f>
        <v>9930.68</v>
      </c>
      <c r="N290" s="184">
        <f>N291</f>
        <v>-11</v>
      </c>
      <c r="O290" s="184">
        <f t="shared" si="58"/>
        <v>9919.68</v>
      </c>
    </row>
    <row r="291" spans="1:257" s="43" customFormat="1" ht="15.75">
      <c r="I291" s="93">
        <v>42</v>
      </c>
      <c r="J291" s="94" t="s">
        <v>20</v>
      </c>
      <c r="K291" s="94"/>
      <c r="L291" s="94"/>
      <c r="M291" s="184">
        <v>9930.68</v>
      </c>
      <c r="N291" s="184">
        <v>-11</v>
      </c>
      <c r="O291" s="184">
        <f t="shared" si="58"/>
        <v>9919.68</v>
      </c>
    </row>
    <row r="292" spans="1:257" s="2" customFormat="1" ht="18" customHeight="1">
      <c r="A292" s="46"/>
      <c r="B292" s="46"/>
      <c r="C292" s="46"/>
      <c r="D292" s="46"/>
      <c r="E292" s="46"/>
      <c r="F292" s="46"/>
      <c r="G292" s="46"/>
      <c r="H292" s="46"/>
      <c r="I292" s="22" t="s">
        <v>61</v>
      </c>
      <c r="J292" s="22" t="s">
        <v>132</v>
      </c>
      <c r="K292" s="23" t="e">
        <f>K304</f>
        <v>#REF!</v>
      </c>
      <c r="L292" s="23"/>
      <c r="M292" s="162">
        <f>M293+M299</f>
        <v>120000</v>
      </c>
      <c r="N292" s="162">
        <f>N293+N299</f>
        <v>-100000</v>
      </c>
      <c r="O292" s="162">
        <f t="shared" si="46"/>
        <v>20000</v>
      </c>
      <c r="P292" s="24" t="e">
        <f>M292/K292*100</f>
        <v>#REF!</v>
      </c>
      <c r="Q292" s="83"/>
      <c r="R292" s="83"/>
    </row>
    <row r="293" spans="1:257" s="64" customFormat="1" ht="15.75">
      <c r="A293" s="60"/>
      <c r="B293" s="60"/>
      <c r="C293" s="60"/>
      <c r="D293" s="60"/>
      <c r="E293" s="60"/>
      <c r="F293" s="60"/>
      <c r="G293" s="60"/>
      <c r="H293" s="60"/>
      <c r="I293" s="61" t="s">
        <v>62</v>
      </c>
      <c r="J293" s="61" t="s">
        <v>129</v>
      </c>
      <c r="K293" s="62" t="e">
        <f>K296</f>
        <v>#REF!</v>
      </c>
      <c r="L293" s="62"/>
      <c r="M293" s="182">
        <f>M294</f>
        <v>20000</v>
      </c>
      <c r="N293" s="182">
        <f>N296</f>
        <v>0</v>
      </c>
      <c r="O293" s="182">
        <f t="shared" si="46"/>
        <v>20000</v>
      </c>
      <c r="P293" s="63" t="e">
        <f>M293/K293*100</f>
        <v>#REF!</v>
      </c>
      <c r="Q293" s="83"/>
      <c r="R293" s="83"/>
      <c r="S293" s="2"/>
      <c r="T293" s="2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  <c r="GF293" s="60"/>
      <c r="GG293" s="60"/>
      <c r="GH293" s="60"/>
      <c r="GI293" s="60"/>
      <c r="GJ293" s="60"/>
      <c r="GK293" s="60"/>
      <c r="GL293" s="60"/>
      <c r="GM293" s="60"/>
      <c r="GN293" s="60"/>
      <c r="GO293" s="60"/>
      <c r="GP293" s="60"/>
      <c r="GQ293" s="60"/>
      <c r="GR293" s="60"/>
      <c r="GS293" s="60"/>
      <c r="GT293" s="60"/>
      <c r="GU293" s="60"/>
      <c r="GV293" s="60"/>
      <c r="GW293" s="60"/>
      <c r="GX293" s="60"/>
      <c r="GY293" s="60"/>
      <c r="GZ293" s="60"/>
      <c r="HA293" s="60"/>
      <c r="HB293" s="60"/>
      <c r="HC293" s="60"/>
      <c r="HD293" s="60"/>
      <c r="HE293" s="60"/>
      <c r="HF293" s="60"/>
      <c r="HG293" s="60"/>
      <c r="HH293" s="60"/>
      <c r="HI293" s="60"/>
      <c r="HJ293" s="60"/>
      <c r="HK293" s="60"/>
      <c r="HL293" s="60"/>
      <c r="HM293" s="60"/>
      <c r="HN293" s="60"/>
      <c r="HO293" s="60"/>
      <c r="HP293" s="60"/>
      <c r="HQ293" s="60"/>
      <c r="HR293" s="60"/>
      <c r="HS293" s="60"/>
      <c r="HT293" s="60"/>
      <c r="HU293" s="60"/>
      <c r="HV293" s="60"/>
      <c r="HW293" s="60"/>
      <c r="HX293" s="60"/>
      <c r="HY293" s="60"/>
      <c r="HZ293" s="60"/>
      <c r="IA293" s="60"/>
      <c r="IB293" s="60"/>
      <c r="IC293" s="60"/>
      <c r="ID293" s="60"/>
      <c r="IE293" s="60"/>
      <c r="IF293" s="60"/>
      <c r="IG293" s="60"/>
      <c r="IH293" s="60"/>
      <c r="II293" s="60"/>
      <c r="IJ293" s="60"/>
      <c r="IK293" s="60"/>
      <c r="IL293" s="60"/>
      <c r="IM293" s="60"/>
      <c r="IN293" s="60"/>
      <c r="IO293" s="60"/>
      <c r="IP293" s="60"/>
      <c r="IQ293" s="60"/>
      <c r="IR293" s="60"/>
      <c r="IS293" s="60"/>
      <c r="IT293" s="60"/>
      <c r="IU293" s="60"/>
      <c r="IV293" s="60"/>
      <c r="IW293" s="60"/>
    </row>
    <row r="294" spans="1:257" s="2" customFormat="1" ht="15.75">
      <c r="A294" s="45"/>
      <c r="B294" s="45"/>
      <c r="C294" s="45"/>
      <c r="D294" s="45"/>
      <c r="E294" s="45"/>
      <c r="F294" s="45"/>
      <c r="G294" s="45"/>
      <c r="H294" s="45"/>
      <c r="I294" s="114" t="s">
        <v>63</v>
      </c>
      <c r="J294" s="115"/>
      <c r="K294" s="116"/>
      <c r="L294" s="116"/>
      <c r="M294" s="164">
        <f>M295</f>
        <v>20000</v>
      </c>
      <c r="N294" s="164">
        <f t="shared" ref="N294:N296" si="59">N295</f>
        <v>0</v>
      </c>
      <c r="O294" s="164">
        <f t="shared" si="46"/>
        <v>20000</v>
      </c>
      <c r="P294" s="30"/>
      <c r="Q294" s="83"/>
      <c r="R294" s="83"/>
    </row>
    <row r="295" spans="1:257" s="59" customFormat="1" ht="18" customHeight="1">
      <c r="A295" s="54"/>
      <c r="B295" s="54"/>
      <c r="C295" s="54"/>
      <c r="D295" s="54"/>
      <c r="E295" s="54"/>
      <c r="F295" s="54"/>
      <c r="G295" s="54"/>
      <c r="H295" s="54"/>
      <c r="I295" s="55"/>
      <c r="J295" s="56" t="s">
        <v>312</v>
      </c>
      <c r="K295" s="57"/>
      <c r="L295" s="57"/>
      <c r="M295" s="166">
        <f>M296</f>
        <v>20000</v>
      </c>
      <c r="N295" s="166">
        <f t="shared" si="59"/>
        <v>0</v>
      </c>
      <c r="O295" s="166">
        <f t="shared" si="46"/>
        <v>20000</v>
      </c>
      <c r="P295" s="58"/>
      <c r="Q295" s="83"/>
      <c r="R295" s="83"/>
      <c r="S295" s="2"/>
      <c r="T295" s="2"/>
    </row>
    <row r="296" spans="1:257" s="36" customFormat="1" ht="15.75">
      <c r="I296" s="35">
        <v>3</v>
      </c>
      <c r="J296" s="36" t="s">
        <v>10</v>
      </c>
      <c r="K296" s="37" t="e">
        <f>#REF!+K297</f>
        <v>#REF!</v>
      </c>
      <c r="L296" s="37"/>
      <c r="M296" s="167">
        <f>+M297</f>
        <v>20000</v>
      </c>
      <c r="N296" s="167">
        <f t="shared" si="59"/>
        <v>0</v>
      </c>
      <c r="O296" s="167">
        <f t="shared" si="46"/>
        <v>20000</v>
      </c>
      <c r="P296" s="38" t="e">
        <f>M296/K296*100</f>
        <v>#REF!</v>
      </c>
      <c r="Q296" s="38"/>
      <c r="R296" s="38"/>
    </row>
    <row r="297" spans="1:257" s="36" customFormat="1" ht="15.75">
      <c r="I297" s="35">
        <v>36</v>
      </c>
      <c r="J297" s="36" t="s">
        <v>119</v>
      </c>
      <c r="K297" s="37" t="e">
        <f>#REF!</f>
        <v>#REF!</v>
      </c>
      <c r="L297" s="37"/>
      <c r="M297" s="167">
        <v>20000</v>
      </c>
      <c r="N297" s="167">
        <v>0</v>
      </c>
      <c r="O297" s="167">
        <f t="shared" si="46"/>
        <v>20000</v>
      </c>
      <c r="P297" s="38" t="e">
        <f>M297/K297*100</f>
        <v>#REF!</v>
      </c>
      <c r="Q297" s="38"/>
      <c r="R297" s="38"/>
    </row>
    <row r="298" spans="1:257" s="43" customFormat="1" hidden="1">
      <c r="M298" s="183"/>
      <c r="N298" s="185"/>
      <c r="O298" s="185"/>
    </row>
    <row r="299" spans="1:257" s="43" customFormat="1" ht="15.75">
      <c r="I299" s="254" t="s">
        <v>290</v>
      </c>
      <c r="J299" s="61" t="s">
        <v>289</v>
      </c>
      <c r="K299" s="62" t="e">
        <f>K302</f>
        <v>#REF!</v>
      </c>
      <c r="L299" s="62"/>
      <c r="M299" s="182">
        <f>M300</f>
        <v>100000</v>
      </c>
      <c r="N299" s="182">
        <f>N302</f>
        <v>-100000</v>
      </c>
      <c r="O299" s="182">
        <f t="shared" ref="O299:O309" si="60">M299+N299</f>
        <v>0</v>
      </c>
    </row>
    <row r="300" spans="1:257" s="43" customFormat="1" ht="15.75">
      <c r="I300" s="114" t="s">
        <v>63</v>
      </c>
      <c r="J300" s="115"/>
      <c r="K300" s="116"/>
      <c r="L300" s="116"/>
      <c r="M300" s="164">
        <f>M301</f>
        <v>100000</v>
      </c>
      <c r="N300" s="164">
        <f t="shared" ref="N300:N302" si="61">N301</f>
        <v>-100000</v>
      </c>
      <c r="O300" s="164">
        <f t="shared" si="60"/>
        <v>0</v>
      </c>
    </row>
    <row r="301" spans="1:257" s="43" customFormat="1" ht="15.75">
      <c r="I301" s="55"/>
      <c r="J301" s="56" t="s">
        <v>312</v>
      </c>
      <c r="K301" s="57"/>
      <c r="L301" s="57"/>
      <c r="M301" s="166">
        <f>M302</f>
        <v>100000</v>
      </c>
      <c r="N301" s="166">
        <f t="shared" si="61"/>
        <v>-100000</v>
      </c>
      <c r="O301" s="166">
        <f t="shared" si="60"/>
        <v>0</v>
      </c>
    </row>
    <row r="302" spans="1:257" s="43" customFormat="1" ht="15.75">
      <c r="I302" s="35">
        <v>3</v>
      </c>
      <c r="J302" s="36" t="s">
        <v>10</v>
      </c>
      <c r="K302" s="37" t="e">
        <f>#REF!+K303</f>
        <v>#REF!</v>
      </c>
      <c r="L302" s="37"/>
      <c r="M302" s="167">
        <f>+M303</f>
        <v>100000</v>
      </c>
      <c r="N302" s="167">
        <f t="shared" si="61"/>
        <v>-100000</v>
      </c>
      <c r="O302" s="167">
        <f t="shared" si="60"/>
        <v>0</v>
      </c>
    </row>
    <row r="303" spans="1:257" s="43" customFormat="1" ht="15.75">
      <c r="I303" s="35">
        <v>36</v>
      </c>
      <c r="J303" s="36" t="s">
        <v>119</v>
      </c>
      <c r="K303" s="37" t="e">
        <f>#REF!</f>
        <v>#REF!</v>
      </c>
      <c r="L303" s="37"/>
      <c r="M303" s="167">
        <v>100000</v>
      </c>
      <c r="N303" s="167">
        <v>-100000</v>
      </c>
      <c r="O303" s="167">
        <f t="shared" si="60"/>
        <v>0</v>
      </c>
    </row>
    <row r="304" spans="1:257" s="2" customFormat="1" ht="18" customHeight="1">
      <c r="A304" s="46"/>
      <c r="B304" s="46"/>
      <c r="C304" s="46"/>
      <c r="D304" s="46"/>
      <c r="E304" s="46"/>
      <c r="F304" s="46"/>
      <c r="G304" s="46"/>
      <c r="H304" s="46"/>
      <c r="I304" s="22" t="s">
        <v>64</v>
      </c>
      <c r="J304" s="22" t="s">
        <v>65</v>
      </c>
      <c r="K304" s="23" t="e">
        <f>K305</f>
        <v>#REF!</v>
      </c>
      <c r="L304" s="23"/>
      <c r="M304" s="162">
        <f>M305</f>
        <v>19908.419999999998</v>
      </c>
      <c r="N304" s="162">
        <f>N305</f>
        <v>0</v>
      </c>
      <c r="O304" s="162">
        <f>M304+N304</f>
        <v>19908.419999999998</v>
      </c>
      <c r="P304" s="24" t="e">
        <f>M304/K304*100</f>
        <v>#REF!</v>
      </c>
      <c r="Q304" s="83"/>
      <c r="R304" s="83"/>
    </row>
    <row r="305" spans="1:20" s="2" customFormat="1" ht="15.75">
      <c r="A305" s="18"/>
      <c r="B305" s="18"/>
      <c r="C305" s="18"/>
      <c r="D305" s="18"/>
      <c r="E305" s="18"/>
      <c r="F305" s="18"/>
      <c r="G305" s="18"/>
      <c r="H305" s="18"/>
      <c r="I305" s="25" t="s">
        <v>66</v>
      </c>
      <c r="J305" s="25" t="s">
        <v>67</v>
      </c>
      <c r="K305" s="16" t="e">
        <f>K308</f>
        <v>#REF!</v>
      </c>
      <c r="L305" s="16"/>
      <c r="M305" s="163">
        <f>M306</f>
        <v>19908.419999999998</v>
      </c>
      <c r="N305" s="163">
        <f>N306</f>
        <v>0</v>
      </c>
      <c r="O305" s="163">
        <f>M305+N305</f>
        <v>19908.419999999998</v>
      </c>
      <c r="P305" s="26" t="e">
        <f>M305/K305*100</f>
        <v>#REF!</v>
      </c>
      <c r="Q305" s="83"/>
      <c r="R305" s="83"/>
    </row>
    <row r="306" spans="1:20" s="2" customFormat="1" ht="15.75">
      <c r="A306" s="45"/>
      <c r="B306" s="45"/>
      <c r="C306" s="45"/>
      <c r="D306" s="45"/>
      <c r="E306" s="45"/>
      <c r="F306" s="45"/>
      <c r="G306" s="45"/>
      <c r="H306" s="45"/>
      <c r="I306" s="114" t="s">
        <v>109</v>
      </c>
      <c r="J306" s="115"/>
      <c r="K306" s="116"/>
      <c r="L306" s="116"/>
      <c r="M306" s="164">
        <f>M307+M322</f>
        <v>19908.419999999998</v>
      </c>
      <c r="N306" s="164">
        <f>N307+N322</f>
        <v>0</v>
      </c>
      <c r="O306" s="164">
        <f t="shared" si="60"/>
        <v>19908.419999999998</v>
      </c>
      <c r="P306" s="30"/>
      <c r="Q306" s="83"/>
      <c r="R306" s="83"/>
    </row>
    <row r="307" spans="1:20" s="59" customFormat="1" ht="17.25" customHeight="1">
      <c r="A307" s="54"/>
      <c r="B307" s="54"/>
      <c r="C307" s="54"/>
      <c r="D307" s="54"/>
      <c r="E307" s="54"/>
      <c r="F307" s="54"/>
      <c r="G307" s="54"/>
      <c r="H307" s="54"/>
      <c r="I307" s="55"/>
      <c r="J307" s="56" t="s">
        <v>312</v>
      </c>
      <c r="K307" s="57"/>
      <c r="L307" s="57"/>
      <c r="M307" s="166">
        <f t="shared" ref="M307:N307" si="62">M308</f>
        <v>19908.419999999998</v>
      </c>
      <c r="N307" s="166">
        <f t="shared" si="62"/>
        <v>-3981.68</v>
      </c>
      <c r="O307" s="166">
        <f t="shared" si="60"/>
        <v>15926.739999999998</v>
      </c>
      <c r="P307" s="58"/>
      <c r="Q307" s="83"/>
      <c r="R307" s="83"/>
      <c r="S307" s="2"/>
      <c r="T307" s="2"/>
    </row>
    <row r="308" spans="1:20" s="36" customFormat="1" ht="15.75">
      <c r="I308" s="35">
        <v>5</v>
      </c>
      <c r="J308" s="36" t="s">
        <v>68</v>
      </c>
      <c r="K308" s="37" t="e">
        <f t="shared" ref="K308:N308" si="63">K309</f>
        <v>#REF!</v>
      </c>
      <c r="L308" s="37"/>
      <c r="M308" s="167">
        <f t="shared" si="63"/>
        <v>19908.419999999998</v>
      </c>
      <c r="N308" s="167">
        <f t="shared" si="63"/>
        <v>-3981.68</v>
      </c>
      <c r="O308" s="167">
        <f t="shared" si="60"/>
        <v>15926.739999999998</v>
      </c>
      <c r="P308" s="38" t="e">
        <f>M308/K308*100</f>
        <v>#REF!</v>
      </c>
      <c r="Q308" s="38"/>
      <c r="R308" s="38"/>
    </row>
    <row r="309" spans="1:20" s="36" customFormat="1" ht="15.75">
      <c r="I309" s="35">
        <v>51</v>
      </c>
      <c r="J309" s="36" t="s">
        <v>276</v>
      </c>
      <c r="K309" s="37" t="e">
        <f>#REF!</f>
        <v>#REF!</v>
      </c>
      <c r="L309" s="37"/>
      <c r="M309" s="167">
        <v>19908.419999999998</v>
      </c>
      <c r="N309" s="167">
        <v>-3981.68</v>
      </c>
      <c r="O309" s="167">
        <f t="shared" si="60"/>
        <v>15926.739999999998</v>
      </c>
      <c r="P309" s="38" t="e">
        <f>M309/K309*100</f>
        <v>#REF!</v>
      </c>
      <c r="Q309" s="38"/>
      <c r="R309" s="38"/>
    </row>
    <row r="310" spans="1:20" s="36" customFormat="1" ht="15.75" hidden="1">
      <c r="I310" s="39"/>
      <c r="J310" s="40"/>
      <c r="K310" s="41"/>
      <c r="L310" s="41"/>
      <c r="M310" s="92"/>
      <c r="N310" s="91"/>
      <c r="O310" s="91"/>
      <c r="P310" s="42"/>
      <c r="Q310" s="42"/>
      <c r="R310" s="42"/>
    </row>
    <row r="311" spans="1:20" s="36" customFormat="1" ht="15.75" hidden="1">
      <c r="I311" s="35"/>
      <c r="K311" s="37"/>
      <c r="L311" s="37"/>
      <c r="M311" s="167"/>
      <c r="N311" s="204"/>
      <c r="O311" s="204"/>
      <c r="P311" s="38"/>
      <c r="Q311" s="38"/>
      <c r="R311" s="38"/>
    </row>
    <row r="312" spans="1:20" s="36" customFormat="1" ht="15.75" hidden="1">
      <c r="I312" s="39"/>
      <c r="J312" s="40"/>
      <c r="K312" s="41"/>
      <c r="L312" s="41"/>
      <c r="M312" s="92"/>
      <c r="N312" s="91"/>
      <c r="O312" s="91"/>
      <c r="P312" s="42"/>
      <c r="Q312" s="42"/>
      <c r="R312" s="42"/>
    </row>
    <row r="313" spans="1:20" s="36" customFormat="1" ht="15.75" hidden="1">
      <c r="I313" s="39"/>
      <c r="J313" s="40"/>
      <c r="K313" s="41"/>
      <c r="L313" s="41"/>
      <c r="M313" s="92"/>
      <c r="N313" s="91"/>
      <c r="O313" s="91"/>
      <c r="P313" s="42"/>
      <c r="Q313" s="42"/>
      <c r="R313" s="42"/>
    </row>
    <row r="314" spans="1:20" s="36" customFormat="1" ht="15.75" hidden="1">
      <c r="I314" s="39"/>
      <c r="J314" s="40"/>
      <c r="K314" s="41"/>
      <c r="L314" s="41"/>
      <c r="M314" s="92"/>
      <c r="N314" s="91"/>
      <c r="O314" s="91"/>
      <c r="P314" s="42"/>
      <c r="Q314" s="42"/>
      <c r="R314" s="42"/>
    </row>
    <row r="315" spans="1:20" s="2" customFormat="1" ht="15.75" hidden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185"/>
      <c r="N315" s="209"/>
      <c r="O315" s="209"/>
      <c r="P315" s="43"/>
      <c r="Q315" s="43"/>
      <c r="R315" s="43"/>
    </row>
    <row r="316" spans="1:20" s="36" customFormat="1" ht="15.75" hidden="1">
      <c r="I316" s="39"/>
      <c r="J316" s="40"/>
      <c r="K316" s="41"/>
      <c r="L316" s="41"/>
      <c r="M316" s="92"/>
      <c r="N316" s="91"/>
      <c r="O316" s="91"/>
      <c r="P316" s="42"/>
      <c r="Q316" s="42"/>
      <c r="R316" s="42"/>
    </row>
    <row r="317" spans="1:20" s="36" customFormat="1" ht="15.75" hidden="1">
      <c r="I317" s="35"/>
      <c r="K317" s="37"/>
      <c r="L317" s="37"/>
      <c r="M317" s="167"/>
      <c r="N317" s="204"/>
      <c r="O317" s="204"/>
      <c r="P317" s="38"/>
      <c r="Q317" s="38"/>
      <c r="R317" s="38"/>
    </row>
    <row r="318" spans="1:20" s="36" customFormat="1" ht="15.75" hidden="1">
      <c r="I318" s="39"/>
      <c r="J318" s="40"/>
      <c r="K318" s="41"/>
      <c r="L318" s="41"/>
      <c r="M318" s="92"/>
      <c r="N318" s="91"/>
      <c r="O318" s="91"/>
      <c r="P318" s="42"/>
      <c r="Q318" s="42"/>
      <c r="R318" s="42"/>
    </row>
    <row r="319" spans="1:20" s="36" customFormat="1" ht="15.75" hidden="1">
      <c r="I319" s="39"/>
      <c r="J319" s="40"/>
      <c r="K319" s="41"/>
      <c r="L319" s="41"/>
      <c r="M319" s="92"/>
      <c r="N319" s="91"/>
      <c r="O319" s="91"/>
      <c r="P319" s="42"/>
      <c r="Q319" s="42"/>
      <c r="R319" s="42"/>
    </row>
    <row r="320" spans="1:20" s="36" customFormat="1" ht="15.75" hidden="1">
      <c r="I320" s="39"/>
      <c r="J320" s="40"/>
      <c r="K320" s="41"/>
      <c r="L320" s="41"/>
      <c r="M320" s="92"/>
      <c r="N320" s="91"/>
      <c r="O320" s="91"/>
      <c r="P320" s="42"/>
      <c r="Q320" s="42"/>
      <c r="R320" s="42"/>
    </row>
    <row r="321" spans="1:20" s="2" customFormat="1" ht="15.75" hidden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185"/>
      <c r="N321" s="209"/>
      <c r="O321" s="209"/>
      <c r="P321" s="43"/>
      <c r="Q321" s="43"/>
      <c r="R321" s="43"/>
    </row>
    <row r="322" spans="1:20" s="2" customFormat="1" ht="15.75">
      <c r="A322" s="43"/>
      <c r="B322" s="43"/>
      <c r="C322" s="43"/>
      <c r="D322" s="43"/>
      <c r="E322" s="43"/>
      <c r="F322" s="43"/>
      <c r="G322" s="43"/>
      <c r="H322" s="43"/>
      <c r="I322" s="55"/>
      <c r="J322" s="56" t="s">
        <v>358</v>
      </c>
      <c r="K322" s="57"/>
      <c r="L322" s="57"/>
      <c r="M322" s="166">
        <f t="shared" ref="M322:N322" si="64">M323</f>
        <v>0</v>
      </c>
      <c r="N322" s="166">
        <f t="shared" si="64"/>
        <v>3981.68</v>
      </c>
      <c r="O322" s="166">
        <f t="shared" ref="O322:O324" si="65">M322+N322</f>
        <v>3981.68</v>
      </c>
      <c r="P322" s="43"/>
      <c r="Q322" s="43"/>
      <c r="R322" s="43"/>
    </row>
    <row r="323" spans="1:20" s="2" customFormat="1" ht="15.75">
      <c r="A323" s="43"/>
      <c r="B323" s="43"/>
      <c r="C323" s="43"/>
      <c r="D323" s="43"/>
      <c r="E323" s="43"/>
      <c r="F323" s="43"/>
      <c r="G323" s="43"/>
      <c r="H323" s="43"/>
      <c r="I323" s="35">
        <v>5</v>
      </c>
      <c r="J323" s="36" t="s">
        <v>68</v>
      </c>
      <c r="K323" s="37" t="e">
        <f t="shared" ref="K323:N323" si="66">K324</f>
        <v>#REF!</v>
      </c>
      <c r="L323" s="37"/>
      <c r="M323" s="167">
        <f t="shared" si="66"/>
        <v>0</v>
      </c>
      <c r="N323" s="167">
        <f t="shared" si="66"/>
        <v>3981.68</v>
      </c>
      <c r="O323" s="167">
        <f t="shared" si="65"/>
        <v>3981.68</v>
      </c>
      <c r="P323" s="43"/>
      <c r="Q323" s="43"/>
      <c r="R323" s="43"/>
    </row>
    <row r="324" spans="1:20" s="2" customFormat="1" ht="15.75">
      <c r="A324" s="43"/>
      <c r="B324" s="43"/>
      <c r="C324" s="43"/>
      <c r="D324" s="43"/>
      <c r="E324" s="43"/>
      <c r="F324" s="43"/>
      <c r="G324" s="43"/>
      <c r="H324" s="43"/>
      <c r="I324" s="35">
        <v>51</v>
      </c>
      <c r="J324" s="36" t="s">
        <v>276</v>
      </c>
      <c r="K324" s="37" t="e">
        <f>#REF!</f>
        <v>#REF!</v>
      </c>
      <c r="L324" s="37"/>
      <c r="M324" s="167">
        <v>0</v>
      </c>
      <c r="N324" s="167">
        <v>3981.68</v>
      </c>
      <c r="O324" s="167">
        <f t="shared" si="65"/>
        <v>3981.68</v>
      </c>
      <c r="P324" s="43"/>
      <c r="Q324" s="43"/>
      <c r="R324" s="43"/>
    </row>
    <row r="325" spans="1:20" s="2" customFormat="1" ht="31.5" customHeight="1">
      <c r="A325" s="18"/>
      <c r="B325" s="18"/>
      <c r="C325" s="18"/>
      <c r="D325" s="18"/>
      <c r="E325" s="18"/>
      <c r="F325" s="18"/>
      <c r="G325" s="18"/>
      <c r="H325" s="18"/>
      <c r="I325" s="25" t="s">
        <v>111</v>
      </c>
      <c r="J325" s="25" t="s">
        <v>69</v>
      </c>
      <c r="K325" s="16" t="e">
        <f>K326</f>
        <v>#REF!</v>
      </c>
      <c r="L325" s="16"/>
      <c r="M325" s="163">
        <f>M326</f>
        <v>159706.89000000001</v>
      </c>
      <c r="N325" s="163">
        <f>N326</f>
        <v>39827.97</v>
      </c>
      <c r="O325" s="163">
        <f t="shared" ref="O325:O341" si="67">M325+N325</f>
        <v>199534.86000000002</v>
      </c>
      <c r="P325" s="26" t="e">
        <f>M325/K325*100</f>
        <v>#REF!</v>
      </c>
      <c r="Q325" s="83"/>
      <c r="R325" s="83"/>
    </row>
    <row r="326" spans="1:20" s="2" customFormat="1" ht="17.25" customHeight="1">
      <c r="A326" s="46"/>
      <c r="B326" s="46"/>
      <c r="C326" s="46"/>
      <c r="D326" s="46"/>
      <c r="E326" s="46"/>
      <c r="F326" s="46"/>
      <c r="G326" s="46"/>
      <c r="H326" s="46"/>
      <c r="I326" s="22" t="s">
        <v>70</v>
      </c>
      <c r="J326" s="22" t="s">
        <v>69</v>
      </c>
      <c r="K326" s="23" t="e">
        <f>K327+K337</f>
        <v>#REF!</v>
      </c>
      <c r="L326" s="23"/>
      <c r="M326" s="162">
        <f>M327+M337+M348+M353</f>
        <v>159706.89000000001</v>
      </c>
      <c r="N326" s="162">
        <f>N327+N337+N348+N353</f>
        <v>39827.97</v>
      </c>
      <c r="O326" s="162">
        <f t="shared" si="67"/>
        <v>199534.86000000002</v>
      </c>
      <c r="P326" s="24" t="e">
        <f>M326/K326*100</f>
        <v>#REF!</v>
      </c>
      <c r="Q326" s="83"/>
      <c r="R326" s="83"/>
    </row>
    <row r="327" spans="1:20" s="2" customFormat="1" ht="15.75">
      <c r="A327" s="18"/>
      <c r="B327" s="18"/>
      <c r="C327" s="18"/>
      <c r="D327" s="18"/>
      <c r="E327" s="18"/>
      <c r="F327" s="18"/>
      <c r="G327" s="18"/>
      <c r="H327" s="18"/>
      <c r="I327" s="25" t="s">
        <v>71</v>
      </c>
      <c r="J327" s="25" t="s">
        <v>120</v>
      </c>
      <c r="K327" s="16" t="e">
        <f>#REF!</f>
        <v>#REF!</v>
      </c>
      <c r="L327" s="16"/>
      <c r="M327" s="163">
        <f>M328+M333</f>
        <v>93653.15</v>
      </c>
      <c r="N327" s="163">
        <f>N328+N333</f>
        <v>59827.97</v>
      </c>
      <c r="O327" s="163">
        <f t="shared" si="67"/>
        <v>153481.12</v>
      </c>
      <c r="P327" s="26" t="e">
        <f>M327/K327*100</f>
        <v>#REF!</v>
      </c>
      <c r="Q327" s="83"/>
      <c r="R327" s="83"/>
    </row>
    <row r="328" spans="1:20" s="2" customFormat="1" ht="15.75">
      <c r="A328" s="45"/>
      <c r="B328" s="45"/>
      <c r="C328" s="45"/>
      <c r="D328" s="45"/>
      <c r="E328" s="45"/>
      <c r="F328" s="45"/>
      <c r="G328" s="45"/>
      <c r="H328" s="45"/>
      <c r="I328" s="114" t="s">
        <v>110</v>
      </c>
      <c r="J328" s="115"/>
      <c r="K328" s="116"/>
      <c r="L328" s="116"/>
      <c r="M328" s="164">
        <f>M329</f>
        <v>92373.15</v>
      </c>
      <c r="N328" s="164">
        <f>N329</f>
        <v>59827.97</v>
      </c>
      <c r="O328" s="164">
        <f t="shared" si="67"/>
        <v>152201.12</v>
      </c>
      <c r="P328" s="30"/>
      <c r="Q328" s="83"/>
      <c r="R328" s="83"/>
    </row>
    <row r="329" spans="1:20" s="59" customFormat="1" ht="17.25" customHeight="1">
      <c r="A329" s="54"/>
      <c r="B329" s="54"/>
      <c r="C329" s="54"/>
      <c r="D329" s="54"/>
      <c r="E329" s="54"/>
      <c r="F329" s="54"/>
      <c r="G329" s="54"/>
      <c r="H329" s="54"/>
      <c r="I329" s="55"/>
      <c r="J329" s="56" t="s">
        <v>312</v>
      </c>
      <c r="K329" s="57"/>
      <c r="L329" s="57"/>
      <c r="M329" s="166">
        <f t="shared" ref="M329:N329" si="68">M330</f>
        <v>92373.15</v>
      </c>
      <c r="N329" s="166">
        <f t="shared" si="68"/>
        <v>59827.97</v>
      </c>
      <c r="O329" s="166">
        <f t="shared" si="67"/>
        <v>152201.12</v>
      </c>
      <c r="P329" s="58"/>
      <c r="Q329" s="83"/>
      <c r="R329" s="83"/>
      <c r="S329" s="2"/>
      <c r="T329" s="2"/>
    </row>
    <row r="330" spans="1:20" s="36" customFormat="1" ht="15.75">
      <c r="I330" s="35">
        <v>3</v>
      </c>
      <c r="J330" s="36" t="s">
        <v>10</v>
      </c>
      <c r="K330" s="37" t="e">
        <f>K331</f>
        <v>#REF!</v>
      </c>
      <c r="L330" s="37"/>
      <c r="M330" s="167">
        <f>M331+M332</f>
        <v>92373.15</v>
      </c>
      <c r="N330" s="167">
        <f>N331+N332</f>
        <v>59827.97</v>
      </c>
      <c r="O330" s="167">
        <f t="shared" si="67"/>
        <v>152201.12</v>
      </c>
      <c r="P330" s="38" t="e">
        <f>M330/K330*100</f>
        <v>#REF!</v>
      </c>
      <c r="Q330" s="229"/>
      <c r="R330" s="38"/>
    </row>
    <row r="331" spans="1:20" s="36" customFormat="1" ht="31.5">
      <c r="I331" s="35">
        <v>37</v>
      </c>
      <c r="J331" s="36" t="s">
        <v>19</v>
      </c>
      <c r="K331" s="37" t="e">
        <f>#REF!</f>
        <v>#REF!</v>
      </c>
      <c r="L331" s="37"/>
      <c r="M331" s="167">
        <v>88373.15</v>
      </c>
      <c r="N331" s="167">
        <v>59827.97</v>
      </c>
      <c r="O331" s="167">
        <f t="shared" si="67"/>
        <v>148201.12</v>
      </c>
      <c r="P331" s="38" t="e">
        <f>M331/K331*100</f>
        <v>#REF!</v>
      </c>
      <c r="Q331" s="38"/>
      <c r="R331" s="38"/>
    </row>
    <row r="332" spans="1:20" s="36" customFormat="1" ht="15.75">
      <c r="I332" s="35">
        <v>38</v>
      </c>
      <c r="J332" s="36" t="s">
        <v>275</v>
      </c>
      <c r="K332" s="37"/>
      <c r="L332" s="37"/>
      <c r="M332" s="167">
        <v>4000</v>
      </c>
      <c r="N332" s="167">
        <v>0</v>
      </c>
      <c r="O332" s="167">
        <f t="shared" si="67"/>
        <v>4000</v>
      </c>
      <c r="P332" s="38"/>
      <c r="Q332" s="38"/>
      <c r="R332" s="38"/>
    </row>
    <row r="333" spans="1:20" s="2" customFormat="1" ht="15.75">
      <c r="A333" s="45"/>
      <c r="B333" s="45"/>
      <c r="C333" s="45"/>
      <c r="D333" s="45"/>
      <c r="E333" s="45"/>
      <c r="F333" s="45"/>
      <c r="G333" s="45"/>
      <c r="H333" s="45"/>
      <c r="I333" s="114" t="s">
        <v>110</v>
      </c>
      <c r="J333" s="115"/>
      <c r="K333" s="116"/>
      <c r="L333" s="116"/>
      <c r="M333" s="164">
        <f>M334</f>
        <v>1280</v>
      </c>
      <c r="N333" s="164">
        <f>N334</f>
        <v>0</v>
      </c>
      <c r="O333" s="164">
        <f t="shared" si="67"/>
        <v>1280</v>
      </c>
      <c r="P333" s="30"/>
      <c r="Q333" s="83"/>
      <c r="R333" s="83"/>
    </row>
    <row r="334" spans="1:20" s="59" customFormat="1" ht="17.25" customHeight="1">
      <c r="A334" s="54"/>
      <c r="B334" s="54"/>
      <c r="C334" s="54"/>
      <c r="D334" s="54"/>
      <c r="E334" s="54"/>
      <c r="F334" s="54"/>
      <c r="G334" s="54"/>
      <c r="H334" s="54"/>
      <c r="I334" s="55"/>
      <c r="J334" s="56" t="s">
        <v>313</v>
      </c>
      <c r="K334" s="57"/>
      <c r="L334" s="57"/>
      <c r="M334" s="166">
        <f t="shared" ref="M334:N335" si="69">M335</f>
        <v>1280</v>
      </c>
      <c r="N334" s="166">
        <f t="shared" si="69"/>
        <v>0</v>
      </c>
      <c r="O334" s="166">
        <f t="shared" si="67"/>
        <v>1280</v>
      </c>
      <c r="P334" s="58"/>
      <c r="Q334" s="83"/>
      <c r="R334" s="83"/>
      <c r="S334" s="2"/>
      <c r="T334" s="2"/>
    </row>
    <row r="335" spans="1:20" s="36" customFormat="1" ht="15.75">
      <c r="I335" s="35">
        <v>3</v>
      </c>
      <c r="J335" s="36" t="s">
        <v>10</v>
      </c>
      <c r="K335" s="37" t="e">
        <f>K336</f>
        <v>#REF!</v>
      </c>
      <c r="L335" s="37"/>
      <c r="M335" s="167">
        <f t="shared" si="69"/>
        <v>1280</v>
      </c>
      <c r="N335" s="167">
        <f t="shared" si="69"/>
        <v>0</v>
      </c>
      <c r="O335" s="167">
        <f t="shared" si="67"/>
        <v>1280</v>
      </c>
      <c r="P335" s="38" t="e">
        <f>M335/K335*100</f>
        <v>#REF!</v>
      </c>
      <c r="Q335" s="38"/>
      <c r="R335" s="38"/>
    </row>
    <row r="336" spans="1:20" s="36" customFormat="1" ht="18" customHeight="1">
      <c r="I336" s="35">
        <v>37</v>
      </c>
      <c r="J336" s="36" t="s">
        <v>126</v>
      </c>
      <c r="K336" s="37" t="e">
        <f>#REF!</f>
        <v>#REF!</v>
      </c>
      <c r="L336" s="37"/>
      <c r="M336" s="167">
        <v>1280</v>
      </c>
      <c r="N336" s="167">
        <v>0</v>
      </c>
      <c r="O336" s="167">
        <f t="shared" si="67"/>
        <v>1280</v>
      </c>
      <c r="P336" s="38" t="e">
        <f>M336/K336*100</f>
        <v>#REF!</v>
      </c>
      <c r="Q336" s="38"/>
      <c r="R336" s="38"/>
    </row>
    <row r="337" spans="1:20" s="36" customFormat="1" ht="15.75">
      <c r="A337" s="18"/>
      <c r="B337" s="18"/>
      <c r="C337" s="18"/>
      <c r="D337" s="18"/>
      <c r="E337" s="18"/>
      <c r="F337" s="18"/>
      <c r="G337" s="18"/>
      <c r="H337" s="18"/>
      <c r="I337" s="25" t="s">
        <v>72</v>
      </c>
      <c r="J337" s="25" t="s">
        <v>73</v>
      </c>
      <c r="K337" s="16" t="e">
        <f>K340</f>
        <v>#REF!</v>
      </c>
      <c r="L337" s="16"/>
      <c r="M337" s="163">
        <f>M338</f>
        <v>5053.74</v>
      </c>
      <c r="N337" s="163">
        <f>N338</f>
        <v>0</v>
      </c>
      <c r="O337" s="163">
        <f t="shared" si="67"/>
        <v>5053.74</v>
      </c>
      <c r="P337" s="26" t="e">
        <f>M337/K337*100</f>
        <v>#REF!</v>
      </c>
      <c r="Q337" s="83"/>
      <c r="R337" s="83"/>
    </row>
    <row r="338" spans="1:20" s="36" customFormat="1" ht="15.75">
      <c r="A338" s="45"/>
      <c r="B338" s="45"/>
      <c r="C338" s="45"/>
      <c r="D338" s="45"/>
      <c r="E338" s="45"/>
      <c r="F338" s="45"/>
      <c r="G338" s="45"/>
      <c r="H338" s="45"/>
      <c r="I338" s="114" t="s">
        <v>74</v>
      </c>
      <c r="J338" s="115"/>
      <c r="K338" s="116"/>
      <c r="L338" s="116"/>
      <c r="M338" s="164">
        <f>M339</f>
        <v>5053.74</v>
      </c>
      <c r="N338" s="164">
        <f t="shared" ref="N338" si="70">N339</f>
        <v>0</v>
      </c>
      <c r="O338" s="164">
        <f t="shared" si="67"/>
        <v>5053.74</v>
      </c>
      <c r="P338" s="30"/>
      <c r="Q338" s="83"/>
      <c r="R338" s="83"/>
    </row>
    <row r="339" spans="1:20" s="59" customFormat="1" ht="18.75" customHeight="1">
      <c r="A339" s="54"/>
      <c r="B339" s="54"/>
      <c r="C339" s="54"/>
      <c r="D339" s="54"/>
      <c r="E339" s="54"/>
      <c r="F339" s="54"/>
      <c r="G339" s="54"/>
      <c r="H339" s="54"/>
      <c r="I339" s="55"/>
      <c r="J339" s="56" t="s">
        <v>312</v>
      </c>
      <c r="K339" s="57"/>
      <c r="L339" s="57"/>
      <c r="M339" s="166">
        <f t="shared" ref="M339:N340" si="71">M340</f>
        <v>5053.74</v>
      </c>
      <c r="N339" s="166">
        <f t="shared" si="71"/>
        <v>0</v>
      </c>
      <c r="O339" s="166">
        <f t="shared" si="67"/>
        <v>5053.74</v>
      </c>
      <c r="P339" s="58"/>
      <c r="Q339" s="83"/>
      <c r="R339" s="83"/>
      <c r="S339" s="2"/>
      <c r="T339" s="2"/>
    </row>
    <row r="340" spans="1:20" s="36" customFormat="1" ht="15.75">
      <c r="I340" s="35">
        <v>3</v>
      </c>
      <c r="J340" s="36" t="s">
        <v>10</v>
      </c>
      <c r="K340" s="37" t="e">
        <f>K341</f>
        <v>#REF!</v>
      </c>
      <c r="L340" s="37"/>
      <c r="M340" s="167">
        <f t="shared" si="71"/>
        <v>5053.74</v>
      </c>
      <c r="N340" s="167">
        <f t="shared" si="71"/>
        <v>0</v>
      </c>
      <c r="O340" s="167">
        <f t="shared" si="67"/>
        <v>5053.74</v>
      </c>
      <c r="P340" s="38" t="e">
        <f>M340/K340*100</f>
        <v>#REF!</v>
      </c>
      <c r="Q340" s="38"/>
      <c r="R340" s="38"/>
    </row>
    <row r="341" spans="1:20" s="36" customFormat="1" ht="15.75">
      <c r="I341" s="35">
        <v>38</v>
      </c>
      <c r="J341" s="36" t="s">
        <v>275</v>
      </c>
      <c r="K341" s="37" t="e">
        <f>#REF!</f>
        <v>#REF!</v>
      </c>
      <c r="L341" s="37"/>
      <c r="M341" s="167">
        <v>5053.74</v>
      </c>
      <c r="N341" s="167">
        <v>0</v>
      </c>
      <c r="O341" s="167">
        <f t="shared" si="67"/>
        <v>5053.74</v>
      </c>
      <c r="P341" s="38" t="e">
        <f>M341/K341*100</f>
        <v>#REF!</v>
      </c>
      <c r="Q341" s="38"/>
      <c r="R341" s="38"/>
    </row>
    <row r="342" spans="1:20" s="36" customFormat="1" ht="15.75" hidden="1">
      <c r="I342" s="39"/>
      <c r="J342" s="40"/>
      <c r="K342" s="41"/>
      <c r="L342" s="41"/>
      <c r="M342" s="109"/>
      <c r="N342" s="92"/>
      <c r="O342" s="92"/>
      <c r="P342" s="42"/>
      <c r="Q342" s="42"/>
      <c r="R342" s="42"/>
    </row>
    <row r="343" spans="1:20" s="36" customFormat="1" ht="15.75" hidden="1">
      <c r="I343" s="39"/>
      <c r="J343" s="40"/>
      <c r="K343" s="41"/>
      <c r="L343" s="41"/>
      <c r="M343" s="109"/>
      <c r="N343" s="92"/>
      <c r="O343" s="92"/>
      <c r="P343" s="42"/>
      <c r="Q343" s="42"/>
      <c r="R343" s="42"/>
    </row>
    <row r="344" spans="1:20" s="36" customFormat="1" ht="15.75" hidden="1">
      <c r="I344" s="39"/>
      <c r="J344" s="40"/>
      <c r="K344" s="41"/>
      <c r="L344" s="41"/>
      <c r="M344" s="109"/>
      <c r="N344" s="92"/>
      <c r="O344" s="92"/>
      <c r="P344" s="42"/>
      <c r="Q344" s="42"/>
      <c r="R344" s="42"/>
    </row>
    <row r="345" spans="1:20" s="36" customFormat="1" ht="15.75" hidden="1">
      <c r="I345" s="35"/>
      <c r="K345" s="37"/>
      <c r="L345" s="37"/>
      <c r="M345" s="168"/>
      <c r="N345" s="167"/>
      <c r="O345" s="167"/>
      <c r="P345" s="38"/>
      <c r="Q345" s="38"/>
      <c r="R345" s="38"/>
    </row>
    <row r="346" spans="1:20" s="36" customFormat="1" ht="15.75" hidden="1">
      <c r="I346" s="35"/>
      <c r="K346" s="37"/>
      <c r="L346" s="37"/>
      <c r="M346" s="168"/>
      <c r="N346" s="203"/>
      <c r="O346" s="203"/>
      <c r="P346" s="38"/>
      <c r="Q346" s="38"/>
      <c r="R346" s="38"/>
    </row>
    <row r="347" spans="1:20" s="36" customFormat="1" ht="15.75" hidden="1">
      <c r="I347" s="39"/>
      <c r="J347" s="40"/>
      <c r="K347" s="41"/>
      <c r="L347" s="41"/>
      <c r="M347" s="109"/>
      <c r="N347" s="92"/>
      <c r="O347" s="92"/>
      <c r="P347" s="42"/>
      <c r="Q347" s="42"/>
      <c r="R347" s="42"/>
    </row>
    <row r="348" spans="1:20" s="36" customFormat="1" ht="15.75">
      <c r="A348" s="18"/>
      <c r="B348" s="18"/>
      <c r="C348" s="18"/>
      <c r="D348" s="18"/>
      <c r="E348" s="18"/>
      <c r="F348" s="18"/>
      <c r="G348" s="18"/>
      <c r="H348" s="18"/>
      <c r="I348" s="25" t="s">
        <v>151</v>
      </c>
      <c r="J348" s="25" t="s">
        <v>248</v>
      </c>
      <c r="K348" s="16" t="e">
        <f>K351</f>
        <v>#REF!</v>
      </c>
      <c r="L348" s="16"/>
      <c r="M348" s="163">
        <f t="shared" ref="M348:N351" si="72">M349</f>
        <v>41000</v>
      </c>
      <c r="N348" s="163">
        <f t="shared" si="72"/>
        <v>0</v>
      </c>
      <c r="O348" s="163">
        <f t="shared" ref="O348:O367" si="73">M348+N348</f>
        <v>41000</v>
      </c>
      <c r="P348" s="26" t="e">
        <f>M348/K348*100</f>
        <v>#REF!</v>
      </c>
      <c r="Q348" s="83"/>
      <c r="R348" s="83"/>
    </row>
    <row r="349" spans="1:20" s="36" customFormat="1" ht="15.75">
      <c r="A349" s="45"/>
      <c r="B349" s="45"/>
      <c r="C349" s="45"/>
      <c r="D349" s="45"/>
      <c r="E349" s="45"/>
      <c r="F349" s="45"/>
      <c r="G349" s="45"/>
      <c r="H349" s="45"/>
      <c r="I349" s="114" t="s">
        <v>74</v>
      </c>
      <c r="J349" s="115"/>
      <c r="K349" s="116"/>
      <c r="L349" s="116"/>
      <c r="M349" s="164">
        <f t="shared" si="72"/>
        <v>41000</v>
      </c>
      <c r="N349" s="164">
        <f t="shared" si="72"/>
        <v>0</v>
      </c>
      <c r="O349" s="164">
        <f t="shared" si="73"/>
        <v>41000</v>
      </c>
      <c r="P349" s="30"/>
      <c r="Q349" s="83"/>
      <c r="R349" s="83"/>
    </row>
    <row r="350" spans="1:20" s="59" customFormat="1" ht="18.75" customHeight="1">
      <c r="A350" s="54"/>
      <c r="B350" s="54"/>
      <c r="C350" s="54"/>
      <c r="D350" s="54"/>
      <c r="E350" s="54"/>
      <c r="F350" s="54"/>
      <c r="G350" s="54"/>
      <c r="H350" s="54"/>
      <c r="I350" s="55"/>
      <c r="J350" s="56" t="s">
        <v>313</v>
      </c>
      <c r="K350" s="57"/>
      <c r="L350" s="57"/>
      <c r="M350" s="166">
        <f t="shared" si="72"/>
        <v>41000</v>
      </c>
      <c r="N350" s="166">
        <f t="shared" si="72"/>
        <v>0</v>
      </c>
      <c r="O350" s="166">
        <f t="shared" si="73"/>
        <v>41000</v>
      </c>
      <c r="P350" s="58"/>
      <c r="Q350" s="83"/>
      <c r="R350" s="83"/>
      <c r="S350" s="2"/>
      <c r="T350" s="2"/>
    </row>
    <row r="351" spans="1:20" s="36" customFormat="1" ht="15.75">
      <c r="I351" s="35">
        <v>3</v>
      </c>
      <c r="J351" s="36" t="s">
        <v>10</v>
      </c>
      <c r="K351" s="37" t="e">
        <f>K352</f>
        <v>#REF!</v>
      </c>
      <c r="L351" s="37"/>
      <c r="M351" s="167">
        <f t="shared" si="72"/>
        <v>41000</v>
      </c>
      <c r="N351" s="167">
        <f t="shared" si="72"/>
        <v>0</v>
      </c>
      <c r="O351" s="167">
        <f t="shared" si="73"/>
        <v>41000</v>
      </c>
      <c r="P351" s="38" t="e">
        <f>M351/K351*100</f>
        <v>#REF!</v>
      </c>
      <c r="Q351" s="38"/>
      <c r="R351" s="38"/>
    </row>
    <row r="352" spans="1:20" s="36" customFormat="1" ht="15.75">
      <c r="I352" s="35">
        <v>31</v>
      </c>
      <c r="J352" s="36" t="s">
        <v>16</v>
      </c>
      <c r="K352" s="37" t="e">
        <f>#REF!</f>
        <v>#REF!</v>
      </c>
      <c r="L352" s="37"/>
      <c r="M352" s="168">
        <v>41000</v>
      </c>
      <c r="N352" s="168">
        <v>0</v>
      </c>
      <c r="O352" s="168">
        <f t="shared" si="73"/>
        <v>41000</v>
      </c>
      <c r="P352" s="38" t="e">
        <f>M352/K352*100</f>
        <v>#REF!</v>
      </c>
      <c r="Q352" s="38"/>
      <c r="R352" s="38"/>
    </row>
    <row r="353" spans="1:20" s="36" customFormat="1" ht="15.75">
      <c r="I353" s="126" t="s">
        <v>178</v>
      </c>
      <c r="J353" s="125" t="s">
        <v>179</v>
      </c>
      <c r="K353" s="127"/>
      <c r="L353" s="127"/>
      <c r="M353" s="186">
        <f>M354</f>
        <v>20000</v>
      </c>
      <c r="N353" s="186">
        <f>N354</f>
        <v>-20000</v>
      </c>
      <c r="O353" s="186">
        <f t="shared" si="73"/>
        <v>0</v>
      </c>
      <c r="P353" s="42"/>
      <c r="Q353" s="42"/>
      <c r="R353" s="42"/>
    </row>
    <row r="354" spans="1:20" s="36" customFormat="1" ht="15.75">
      <c r="I354" s="367" t="s">
        <v>163</v>
      </c>
      <c r="J354" s="367"/>
      <c r="K354" s="264"/>
      <c r="L354" s="264"/>
      <c r="M354" s="265">
        <f>M355+M358</f>
        <v>20000</v>
      </c>
      <c r="N354" s="265">
        <f>N355+N358</f>
        <v>-20000</v>
      </c>
      <c r="O354" s="265">
        <f t="shared" si="73"/>
        <v>0</v>
      </c>
      <c r="P354" s="42"/>
      <c r="Q354" s="42"/>
      <c r="R354" s="42"/>
    </row>
    <row r="355" spans="1:20" s="36" customFormat="1" ht="15.75" customHeight="1">
      <c r="I355" s="123"/>
      <c r="J355" s="123" t="s">
        <v>312</v>
      </c>
      <c r="K355" s="113"/>
      <c r="L355" s="113"/>
      <c r="M355" s="187">
        <f>SUM(M356)</f>
        <v>9292.02</v>
      </c>
      <c r="N355" s="187">
        <f>N356</f>
        <v>-9292.02</v>
      </c>
      <c r="O355" s="187">
        <f t="shared" si="73"/>
        <v>0</v>
      </c>
      <c r="P355" s="42"/>
      <c r="Q355" s="42"/>
      <c r="R355" s="42"/>
    </row>
    <row r="356" spans="1:20" s="36" customFormat="1" ht="15.75">
      <c r="I356" s="35">
        <v>4</v>
      </c>
      <c r="J356" s="36" t="s">
        <v>11</v>
      </c>
      <c r="K356" s="37"/>
      <c r="L356" s="37"/>
      <c r="M356" s="167">
        <f>SUM(M357)</f>
        <v>9292.02</v>
      </c>
      <c r="N356" s="167">
        <f>N357</f>
        <v>-9292.02</v>
      </c>
      <c r="O356" s="167">
        <f t="shared" si="73"/>
        <v>0</v>
      </c>
      <c r="P356" s="42"/>
      <c r="Q356" s="42"/>
      <c r="R356" s="42"/>
    </row>
    <row r="357" spans="1:20" s="36" customFormat="1" ht="15.75">
      <c r="I357" s="35">
        <v>42</v>
      </c>
      <c r="J357" s="36" t="s">
        <v>20</v>
      </c>
      <c r="K357" s="41"/>
      <c r="L357" s="41"/>
      <c r="M357" s="167">
        <v>9292.02</v>
      </c>
      <c r="N357" s="167">
        <v>-9292.02</v>
      </c>
      <c r="O357" s="167">
        <f t="shared" si="73"/>
        <v>0</v>
      </c>
      <c r="P357" s="42"/>
      <c r="Q357" s="42"/>
      <c r="R357" s="42"/>
    </row>
    <row r="358" spans="1:20" s="36" customFormat="1" ht="34.5" customHeight="1">
      <c r="I358" s="123"/>
      <c r="J358" s="123" t="s">
        <v>321</v>
      </c>
      <c r="K358" s="113"/>
      <c r="L358" s="113"/>
      <c r="M358" s="187">
        <f>SUM(M359)</f>
        <v>10707.98</v>
      </c>
      <c r="N358" s="187">
        <f>N359</f>
        <v>-10707.98</v>
      </c>
      <c r="O358" s="187">
        <f t="shared" si="73"/>
        <v>0</v>
      </c>
      <c r="P358" s="42"/>
      <c r="Q358" s="42"/>
      <c r="R358" s="42"/>
    </row>
    <row r="359" spans="1:20" s="36" customFormat="1" ht="15.75">
      <c r="I359" s="35">
        <v>4</v>
      </c>
      <c r="J359" s="36" t="s">
        <v>11</v>
      </c>
      <c r="K359" s="37"/>
      <c r="L359" s="37"/>
      <c r="M359" s="167">
        <f>SUM(M360)</f>
        <v>10707.98</v>
      </c>
      <c r="N359" s="167">
        <f>N360</f>
        <v>-10707.98</v>
      </c>
      <c r="O359" s="167">
        <f t="shared" si="73"/>
        <v>0</v>
      </c>
      <c r="P359" s="42"/>
      <c r="Q359" s="42"/>
      <c r="R359" s="42"/>
    </row>
    <row r="360" spans="1:20" s="36" customFormat="1" ht="15.75">
      <c r="I360" s="35">
        <v>42</v>
      </c>
      <c r="J360" s="36" t="s">
        <v>20</v>
      </c>
      <c r="K360" s="41"/>
      <c r="L360" s="41"/>
      <c r="M360" s="167">
        <v>10707.98</v>
      </c>
      <c r="N360" s="167">
        <v>-10707.98</v>
      </c>
      <c r="O360" s="167">
        <f t="shared" si="73"/>
        <v>0</v>
      </c>
      <c r="P360" s="42"/>
      <c r="Q360" s="42"/>
      <c r="R360" s="42"/>
    </row>
    <row r="361" spans="1:20" s="36" customFormat="1" ht="31.5" customHeight="1">
      <c r="A361" s="18"/>
      <c r="B361" s="18"/>
      <c r="C361" s="18"/>
      <c r="D361" s="18"/>
      <c r="E361" s="18"/>
      <c r="F361" s="18"/>
      <c r="G361" s="18"/>
      <c r="H361" s="18"/>
      <c r="I361" s="25" t="s">
        <v>112</v>
      </c>
      <c r="J361" s="25" t="s">
        <v>75</v>
      </c>
      <c r="K361" s="16" t="e">
        <f>K362</f>
        <v>#REF!</v>
      </c>
      <c r="L361" s="16"/>
      <c r="M361" s="163">
        <f>M362</f>
        <v>96525</v>
      </c>
      <c r="N361" s="163">
        <f>N362</f>
        <v>0</v>
      </c>
      <c r="O361" s="163">
        <f t="shared" si="73"/>
        <v>96525</v>
      </c>
      <c r="P361" s="26" t="e">
        <f>M361/K361*100</f>
        <v>#REF!</v>
      </c>
      <c r="Q361" s="83"/>
      <c r="R361" s="83"/>
    </row>
    <row r="362" spans="1:20" s="2" customFormat="1" ht="19.5" customHeight="1">
      <c r="A362" s="46"/>
      <c r="B362" s="46"/>
      <c r="C362" s="46"/>
      <c r="D362" s="46"/>
      <c r="E362" s="46"/>
      <c r="F362" s="46"/>
      <c r="G362" s="46"/>
      <c r="H362" s="46"/>
      <c r="I362" s="22" t="s">
        <v>114</v>
      </c>
      <c r="J362" s="22" t="s">
        <v>121</v>
      </c>
      <c r="K362" s="23" t="e">
        <f>K363+K378</f>
        <v>#REF!</v>
      </c>
      <c r="L362" s="23"/>
      <c r="M362" s="162">
        <f>M363+M378</f>
        <v>96525</v>
      </c>
      <c r="N362" s="162">
        <f>N363+N378</f>
        <v>0</v>
      </c>
      <c r="O362" s="162">
        <f t="shared" si="73"/>
        <v>96525</v>
      </c>
      <c r="P362" s="24" t="e">
        <f>M362/K362*100</f>
        <v>#REF!</v>
      </c>
      <c r="Q362" s="83"/>
      <c r="R362" s="83"/>
    </row>
    <row r="363" spans="1:20" s="2" customFormat="1" ht="15.75">
      <c r="A363" s="18"/>
      <c r="B363" s="18"/>
      <c r="C363" s="18"/>
      <c r="D363" s="18"/>
      <c r="E363" s="18"/>
      <c r="F363" s="18"/>
      <c r="G363" s="18"/>
      <c r="H363" s="18"/>
      <c r="I363" s="25" t="s">
        <v>115</v>
      </c>
      <c r="J363" s="25" t="s">
        <v>169</v>
      </c>
      <c r="K363" s="16" t="e">
        <f>K366</f>
        <v>#REF!</v>
      </c>
      <c r="L363" s="16"/>
      <c r="M363" s="163">
        <f>M364+M374</f>
        <v>6525</v>
      </c>
      <c r="N363" s="163">
        <f>N364+N374</f>
        <v>0</v>
      </c>
      <c r="O363" s="163">
        <f t="shared" si="73"/>
        <v>6525</v>
      </c>
      <c r="P363" s="26" t="e">
        <f>M363/K363*100</f>
        <v>#REF!</v>
      </c>
      <c r="Q363" s="83"/>
      <c r="R363" s="83"/>
    </row>
    <row r="364" spans="1:20" s="2" customFormat="1" ht="15.75">
      <c r="A364" s="45"/>
      <c r="B364" s="45"/>
      <c r="C364" s="45"/>
      <c r="D364" s="45"/>
      <c r="E364" s="45"/>
      <c r="F364" s="45"/>
      <c r="G364" s="45"/>
      <c r="H364" s="45"/>
      <c r="I364" s="114" t="s">
        <v>78</v>
      </c>
      <c r="J364" s="115"/>
      <c r="K364" s="116"/>
      <c r="L364" s="116"/>
      <c r="M364" s="164">
        <f>M365</f>
        <v>2700</v>
      </c>
      <c r="N364" s="164">
        <f t="shared" ref="N364" si="74">N365</f>
        <v>0</v>
      </c>
      <c r="O364" s="164">
        <f t="shared" si="73"/>
        <v>2700</v>
      </c>
      <c r="P364" s="30"/>
      <c r="Q364" s="83"/>
      <c r="R364" s="83"/>
    </row>
    <row r="365" spans="1:20" s="59" customFormat="1" ht="16.5" customHeight="1">
      <c r="A365" s="54"/>
      <c r="B365" s="54"/>
      <c r="C365" s="54"/>
      <c r="D365" s="54"/>
      <c r="E365" s="54"/>
      <c r="F365" s="54"/>
      <c r="G365" s="54"/>
      <c r="H365" s="54"/>
      <c r="I365" s="55"/>
      <c r="J365" s="56" t="s">
        <v>312</v>
      </c>
      <c r="K365" s="57"/>
      <c r="L365" s="57"/>
      <c r="M365" s="166">
        <f>M366</f>
        <v>2700</v>
      </c>
      <c r="N365" s="166">
        <f>N366</f>
        <v>0</v>
      </c>
      <c r="O365" s="166">
        <f t="shared" si="73"/>
        <v>2700</v>
      </c>
      <c r="P365" s="78"/>
      <c r="Q365" s="83"/>
      <c r="R365" s="83"/>
      <c r="S365" s="2"/>
      <c r="T365" s="2"/>
    </row>
    <row r="366" spans="1:20" s="36" customFormat="1" ht="15.75">
      <c r="I366" s="35">
        <v>4</v>
      </c>
      <c r="J366" s="36" t="s">
        <v>11</v>
      </c>
      <c r="K366" s="37" t="e">
        <f>K367</f>
        <v>#REF!</v>
      </c>
      <c r="L366" s="37"/>
      <c r="M366" s="167">
        <f>M367</f>
        <v>2700</v>
      </c>
      <c r="N366" s="167">
        <f>N367</f>
        <v>0</v>
      </c>
      <c r="O366" s="167">
        <f t="shared" si="73"/>
        <v>2700</v>
      </c>
      <c r="P366" s="76" t="e">
        <f>M366/K366*100</f>
        <v>#REF!</v>
      </c>
      <c r="Q366" s="38"/>
      <c r="R366" s="38"/>
    </row>
    <row r="367" spans="1:20" s="36" customFormat="1" ht="15.75">
      <c r="I367" s="35">
        <v>42</v>
      </c>
      <c r="J367" s="36" t="s">
        <v>20</v>
      </c>
      <c r="K367" s="37" t="e">
        <f>#REF!</f>
        <v>#REF!</v>
      </c>
      <c r="L367" s="37"/>
      <c r="M367" s="167">
        <v>2700</v>
      </c>
      <c r="N367" s="167">
        <v>0</v>
      </c>
      <c r="O367" s="167">
        <f t="shared" si="73"/>
        <v>2700</v>
      </c>
      <c r="P367" s="76" t="e">
        <f>M367/K367*100</f>
        <v>#REF!</v>
      </c>
      <c r="Q367" s="38"/>
      <c r="R367" s="38"/>
    </row>
    <row r="368" spans="1:20" s="36" customFormat="1" ht="15.75" hidden="1">
      <c r="I368" s="39"/>
      <c r="J368" s="40"/>
      <c r="K368" s="41"/>
      <c r="L368" s="41"/>
      <c r="M368" s="92"/>
      <c r="N368" s="92"/>
      <c r="O368" s="92"/>
      <c r="P368" s="77"/>
      <c r="Q368" s="42"/>
      <c r="R368" s="42"/>
    </row>
    <row r="369" spans="1:20" s="36" customFormat="1" ht="15.75" hidden="1">
      <c r="I369" s="39"/>
      <c r="J369" s="40"/>
      <c r="K369" s="41"/>
      <c r="L369" s="41"/>
      <c r="M369" s="92"/>
      <c r="N369" s="92"/>
      <c r="O369" s="92"/>
      <c r="P369" s="77"/>
      <c r="Q369" s="42"/>
      <c r="R369" s="42"/>
    </row>
    <row r="370" spans="1:20" s="36" customFormat="1" ht="15.75" hidden="1">
      <c r="I370" s="39"/>
      <c r="J370" s="40"/>
      <c r="K370" s="41"/>
      <c r="L370" s="41"/>
      <c r="M370" s="92"/>
      <c r="N370" s="92"/>
      <c r="O370" s="92"/>
      <c r="P370" s="77"/>
      <c r="Q370" s="42"/>
      <c r="R370" s="42"/>
    </row>
    <row r="371" spans="1:20" s="36" customFormat="1" ht="15.75" hidden="1">
      <c r="I371" s="39"/>
      <c r="J371" s="40"/>
      <c r="K371" s="41"/>
      <c r="L371" s="41"/>
      <c r="M371" s="92"/>
      <c r="N371" s="92"/>
      <c r="O371" s="92"/>
      <c r="P371" s="77"/>
      <c r="Q371" s="42"/>
      <c r="R371" s="42"/>
    </row>
    <row r="372" spans="1:20" s="36" customFormat="1" ht="15.75" hidden="1">
      <c r="I372" s="39"/>
      <c r="J372" s="40"/>
      <c r="K372" s="41"/>
      <c r="L372" s="41"/>
      <c r="M372" s="92"/>
      <c r="N372" s="92"/>
      <c r="O372" s="92"/>
      <c r="P372" s="77"/>
      <c r="Q372" s="42"/>
      <c r="R372" s="42"/>
    </row>
    <row r="373" spans="1:20" s="146" customFormat="1" ht="15.75">
      <c r="I373" s="146" t="s">
        <v>170</v>
      </c>
      <c r="J373" s="146" t="s">
        <v>171</v>
      </c>
      <c r="K373" s="147"/>
      <c r="L373" s="147"/>
      <c r="M373" s="188">
        <f t="shared" ref="M373:N375" si="75">M374</f>
        <v>3825</v>
      </c>
      <c r="N373" s="188">
        <f t="shared" si="75"/>
        <v>0</v>
      </c>
      <c r="O373" s="188">
        <f t="shared" ref="O373:O411" si="76">M373+N373</f>
        <v>3825</v>
      </c>
      <c r="P373" s="148"/>
      <c r="Q373" s="149"/>
      <c r="R373" s="149"/>
    </row>
    <row r="374" spans="1:20" s="216" customFormat="1" ht="15.75">
      <c r="I374" s="367" t="s">
        <v>78</v>
      </c>
      <c r="J374" s="367"/>
      <c r="K374" s="255"/>
      <c r="L374" s="255"/>
      <c r="M374" s="256">
        <f t="shared" si="75"/>
        <v>3825</v>
      </c>
      <c r="N374" s="256">
        <f t="shared" si="75"/>
        <v>0</v>
      </c>
      <c r="O374" s="256">
        <f t="shared" si="76"/>
        <v>3825</v>
      </c>
      <c r="P374" s="217"/>
      <c r="Q374" s="218"/>
      <c r="R374" s="218"/>
    </row>
    <row r="375" spans="1:20" s="198" customFormat="1" ht="15.75">
      <c r="J375" s="198" t="s">
        <v>312</v>
      </c>
      <c r="K375" s="210"/>
      <c r="L375" s="210"/>
      <c r="M375" s="213">
        <f t="shared" si="75"/>
        <v>3825</v>
      </c>
      <c r="N375" s="213">
        <f t="shared" si="75"/>
        <v>0</v>
      </c>
      <c r="O375" s="213">
        <f t="shared" si="76"/>
        <v>3825</v>
      </c>
      <c r="P375" s="214"/>
      <c r="Q375" s="215"/>
      <c r="R375" s="215"/>
    </row>
    <row r="376" spans="1:20" s="36" customFormat="1" ht="15.75">
      <c r="I376" s="35">
        <v>3</v>
      </c>
      <c r="J376" s="36" t="s">
        <v>10</v>
      </c>
      <c r="K376" s="37"/>
      <c r="L376" s="37"/>
      <c r="M376" s="167">
        <f>M377</f>
        <v>3825</v>
      </c>
      <c r="N376" s="167">
        <f>N377</f>
        <v>0</v>
      </c>
      <c r="O376" s="167">
        <f t="shared" si="76"/>
        <v>3825</v>
      </c>
      <c r="P376" s="77"/>
      <c r="Q376" s="42"/>
      <c r="R376" s="42"/>
    </row>
    <row r="377" spans="1:20" s="36" customFormat="1" ht="15.75">
      <c r="I377" s="35">
        <v>38</v>
      </c>
      <c r="J377" s="36" t="s">
        <v>275</v>
      </c>
      <c r="K377" s="37"/>
      <c r="L377" s="37"/>
      <c r="M377" s="167">
        <v>3825</v>
      </c>
      <c r="N377" s="167">
        <v>0</v>
      </c>
      <c r="O377" s="167">
        <f t="shared" si="76"/>
        <v>3825</v>
      </c>
      <c r="P377" s="77"/>
      <c r="Q377" s="42"/>
      <c r="R377" s="42"/>
    </row>
    <row r="378" spans="1:20" s="2" customFormat="1" ht="15.75">
      <c r="A378" s="18"/>
      <c r="B378" s="18"/>
      <c r="C378" s="18"/>
      <c r="D378" s="18"/>
      <c r="E378" s="18"/>
      <c r="F378" s="18"/>
      <c r="G378" s="18"/>
      <c r="H378" s="18"/>
      <c r="I378" s="25" t="s">
        <v>133</v>
      </c>
      <c r="J378" s="25" t="s">
        <v>79</v>
      </c>
      <c r="K378" s="16" t="e">
        <f>K381</f>
        <v>#REF!</v>
      </c>
      <c r="L378" s="16"/>
      <c r="M378" s="163">
        <f>M379</f>
        <v>90000</v>
      </c>
      <c r="N378" s="163">
        <f>N381</f>
        <v>0</v>
      </c>
      <c r="O378" s="163">
        <f t="shared" si="76"/>
        <v>90000</v>
      </c>
      <c r="P378" s="74" t="e">
        <f>M378/K378*100</f>
        <v>#REF!</v>
      </c>
      <c r="Q378" s="83"/>
      <c r="R378" s="83"/>
    </row>
    <row r="379" spans="1:20" s="2" customFormat="1" ht="15.75">
      <c r="A379" s="45"/>
      <c r="B379" s="45"/>
      <c r="C379" s="45"/>
      <c r="D379" s="45"/>
      <c r="E379" s="45"/>
      <c r="F379" s="45"/>
      <c r="G379" s="45"/>
      <c r="H379" s="45"/>
      <c r="I379" s="114" t="s">
        <v>80</v>
      </c>
      <c r="J379" s="115"/>
      <c r="K379" s="116"/>
      <c r="L379" s="116"/>
      <c r="M379" s="164">
        <f>M380</f>
        <v>90000</v>
      </c>
      <c r="N379" s="164">
        <f>N380</f>
        <v>0</v>
      </c>
      <c r="O379" s="164">
        <f t="shared" si="76"/>
        <v>90000</v>
      </c>
      <c r="P379" s="75"/>
      <c r="Q379" s="83"/>
      <c r="R379" s="83"/>
    </row>
    <row r="380" spans="1:20" s="59" customFormat="1" ht="15.75" customHeight="1">
      <c r="A380" s="54"/>
      <c r="B380" s="54"/>
      <c r="C380" s="54"/>
      <c r="D380" s="54"/>
      <c r="E380" s="54"/>
      <c r="F380" s="54"/>
      <c r="G380" s="54"/>
      <c r="H380" s="54"/>
      <c r="I380" s="55"/>
      <c r="J380" s="56" t="s">
        <v>312</v>
      </c>
      <c r="K380" s="57"/>
      <c r="L380" s="57"/>
      <c r="M380" s="166">
        <f>M381</f>
        <v>90000</v>
      </c>
      <c r="N380" s="166">
        <f t="shared" ref="M380:N381" si="77">N381</f>
        <v>0</v>
      </c>
      <c r="O380" s="166">
        <f t="shared" si="76"/>
        <v>90000</v>
      </c>
      <c r="P380" s="78"/>
      <c r="Q380" s="83"/>
      <c r="R380" s="83"/>
      <c r="S380" s="2"/>
      <c r="T380" s="2"/>
    </row>
    <row r="381" spans="1:20" s="36" customFormat="1" ht="15.75">
      <c r="I381" s="35">
        <v>3</v>
      </c>
      <c r="J381" s="36" t="s">
        <v>10</v>
      </c>
      <c r="K381" s="37" t="e">
        <f>K382</f>
        <v>#REF!</v>
      </c>
      <c r="L381" s="37"/>
      <c r="M381" s="167">
        <f t="shared" si="77"/>
        <v>90000</v>
      </c>
      <c r="N381" s="167">
        <f t="shared" si="77"/>
        <v>0</v>
      </c>
      <c r="O381" s="167">
        <f t="shared" si="76"/>
        <v>90000</v>
      </c>
      <c r="P381" s="76" t="e">
        <f>M381/K381*100</f>
        <v>#REF!</v>
      </c>
      <c r="Q381" s="38"/>
      <c r="R381" s="38"/>
    </row>
    <row r="382" spans="1:20" s="36" customFormat="1" ht="15.75">
      <c r="I382" s="35">
        <v>38</v>
      </c>
      <c r="J382" s="36" t="s">
        <v>275</v>
      </c>
      <c r="K382" s="37" t="e">
        <f>#REF!</f>
        <v>#REF!</v>
      </c>
      <c r="L382" s="37"/>
      <c r="M382" s="167">
        <v>90000</v>
      </c>
      <c r="N382" s="167">
        <v>0</v>
      </c>
      <c r="O382" s="167">
        <f t="shared" si="76"/>
        <v>90000</v>
      </c>
      <c r="P382" s="76" t="e">
        <f>M382/K382*100</f>
        <v>#REF!</v>
      </c>
      <c r="Q382" s="38"/>
      <c r="R382" s="38"/>
    </row>
    <row r="383" spans="1:20" s="2" customFormat="1" ht="32.25" customHeight="1">
      <c r="A383" s="18"/>
      <c r="B383" s="18"/>
      <c r="C383" s="18"/>
      <c r="D383" s="18"/>
      <c r="E383" s="18"/>
      <c r="F383" s="18"/>
      <c r="G383" s="18"/>
      <c r="H383" s="18"/>
      <c r="I383" s="25" t="s">
        <v>113</v>
      </c>
      <c r="J383" s="25" t="s">
        <v>81</v>
      </c>
      <c r="K383" s="16" t="e">
        <f>K384+K390+K411</f>
        <v>#REF!</v>
      </c>
      <c r="L383" s="16"/>
      <c r="M383" s="163">
        <f>M384+M390+M411</f>
        <v>189790</v>
      </c>
      <c r="N383" s="163">
        <f>N384+N390+N411</f>
        <v>-6442.15</v>
      </c>
      <c r="O383" s="163">
        <f t="shared" si="76"/>
        <v>183347.85</v>
      </c>
      <c r="P383" s="74" t="e">
        <f>M383/K383*100</f>
        <v>#REF!</v>
      </c>
      <c r="Q383" s="83"/>
      <c r="R383" s="83"/>
    </row>
    <row r="384" spans="1:20" s="2" customFormat="1" ht="18.75" customHeight="1">
      <c r="A384" s="46"/>
      <c r="B384" s="46"/>
      <c r="C384" s="46"/>
      <c r="D384" s="46"/>
      <c r="E384" s="46"/>
      <c r="F384" s="46"/>
      <c r="G384" s="46"/>
      <c r="H384" s="46"/>
      <c r="I384" s="22" t="s">
        <v>76</v>
      </c>
      <c r="J384" s="22" t="s">
        <v>83</v>
      </c>
      <c r="K384" s="23" t="e">
        <f>K385</f>
        <v>#REF!</v>
      </c>
      <c r="L384" s="23"/>
      <c r="M384" s="162">
        <f>M385</f>
        <v>23000</v>
      </c>
      <c r="N384" s="162">
        <f>N385</f>
        <v>0</v>
      </c>
      <c r="O384" s="162">
        <f t="shared" si="76"/>
        <v>23000</v>
      </c>
      <c r="P384" s="73" t="e">
        <f>M384/K384*100</f>
        <v>#REF!</v>
      </c>
      <c r="Q384" s="83"/>
      <c r="R384" s="83"/>
    </row>
    <row r="385" spans="1:20" s="2" customFormat="1" ht="15.75">
      <c r="A385" s="18"/>
      <c r="B385" s="18"/>
      <c r="C385" s="18"/>
      <c r="D385" s="18"/>
      <c r="E385" s="18"/>
      <c r="F385" s="18"/>
      <c r="G385" s="18"/>
      <c r="H385" s="18"/>
      <c r="I385" s="25" t="s">
        <v>77</v>
      </c>
      <c r="J385" s="25" t="s">
        <v>85</v>
      </c>
      <c r="K385" s="16" t="e">
        <f>K388</f>
        <v>#REF!</v>
      </c>
      <c r="L385" s="16"/>
      <c r="M385" s="163">
        <f>M386</f>
        <v>23000</v>
      </c>
      <c r="N385" s="163">
        <f>N388</f>
        <v>0</v>
      </c>
      <c r="O385" s="163">
        <f t="shared" si="76"/>
        <v>23000</v>
      </c>
      <c r="P385" s="74" t="e">
        <f>M385/K385*100</f>
        <v>#REF!</v>
      </c>
      <c r="Q385" s="83"/>
      <c r="R385" s="83"/>
    </row>
    <row r="386" spans="1:20" s="2" customFormat="1" ht="15.75">
      <c r="A386" s="45"/>
      <c r="B386" s="45"/>
      <c r="C386" s="45"/>
      <c r="D386" s="45"/>
      <c r="E386" s="45"/>
      <c r="F386" s="45"/>
      <c r="G386" s="45"/>
      <c r="H386" s="45"/>
      <c r="I386" s="114" t="s">
        <v>86</v>
      </c>
      <c r="J386" s="115"/>
      <c r="K386" s="116"/>
      <c r="L386" s="116"/>
      <c r="M386" s="164">
        <f>M387</f>
        <v>23000</v>
      </c>
      <c r="N386" s="164">
        <f t="shared" ref="N386" si="78">N387</f>
        <v>0</v>
      </c>
      <c r="O386" s="164">
        <f t="shared" si="76"/>
        <v>23000</v>
      </c>
      <c r="P386" s="75"/>
      <c r="Q386" s="83"/>
      <c r="R386" s="83"/>
    </row>
    <row r="387" spans="1:20" s="59" customFormat="1" ht="18.75" customHeight="1">
      <c r="A387" s="54"/>
      <c r="B387" s="54"/>
      <c r="C387" s="54"/>
      <c r="D387" s="54"/>
      <c r="E387" s="54"/>
      <c r="F387" s="54"/>
      <c r="G387" s="54"/>
      <c r="H387" s="54"/>
      <c r="I387" s="55"/>
      <c r="J387" s="56" t="s">
        <v>312</v>
      </c>
      <c r="K387" s="57"/>
      <c r="L387" s="57"/>
      <c r="M387" s="166">
        <f>M388</f>
        <v>23000</v>
      </c>
      <c r="N387" s="166">
        <f>N388</f>
        <v>0</v>
      </c>
      <c r="O387" s="166">
        <f t="shared" si="76"/>
        <v>23000</v>
      </c>
      <c r="P387" s="78"/>
      <c r="Q387" s="83"/>
      <c r="R387" s="83"/>
      <c r="S387" s="2"/>
      <c r="T387" s="2"/>
    </row>
    <row r="388" spans="1:20" s="2" customFormat="1" ht="15.75">
      <c r="A388" s="36"/>
      <c r="B388" s="36"/>
      <c r="C388" s="36"/>
      <c r="D388" s="36"/>
      <c r="E388" s="36"/>
      <c r="F388" s="36"/>
      <c r="G388" s="36"/>
      <c r="H388" s="36"/>
      <c r="I388" s="35">
        <v>3</v>
      </c>
      <c r="J388" s="36" t="s">
        <v>10</v>
      </c>
      <c r="K388" s="37" t="e">
        <f>K389</f>
        <v>#REF!</v>
      </c>
      <c r="L388" s="37"/>
      <c r="M388" s="167">
        <f>M389</f>
        <v>23000</v>
      </c>
      <c r="N388" s="167">
        <f t="shared" ref="N388" si="79">N389</f>
        <v>0</v>
      </c>
      <c r="O388" s="167">
        <f t="shared" si="76"/>
        <v>23000</v>
      </c>
      <c r="P388" s="76" t="e">
        <f>M388/K388*100</f>
        <v>#REF!</v>
      </c>
      <c r="Q388" s="38"/>
      <c r="R388" s="38"/>
    </row>
    <row r="389" spans="1:20" s="2" customFormat="1" ht="15.75">
      <c r="A389" s="36"/>
      <c r="B389" s="36"/>
      <c r="C389" s="36"/>
      <c r="D389" s="36"/>
      <c r="E389" s="36"/>
      <c r="F389" s="36"/>
      <c r="G389" s="36"/>
      <c r="H389" s="36"/>
      <c r="I389" s="35">
        <v>38</v>
      </c>
      <c r="J389" s="36" t="s">
        <v>275</v>
      </c>
      <c r="K389" s="37" t="e">
        <f>#REF!</f>
        <v>#REF!</v>
      </c>
      <c r="L389" s="37"/>
      <c r="M389" s="167">
        <v>23000</v>
      </c>
      <c r="N389" s="167">
        <v>0</v>
      </c>
      <c r="O389" s="167">
        <f t="shared" si="76"/>
        <v>23000</v>
      </c>
      <c r="P389" s="76" t="e">
        <f>M389/K389*100</f>
        <v>#REF!</v>
      </c>
      <c r="Q389" s="38"/>
      <c r="R389" s="38"/>
    </row>
    <row r="390" spans="1:20" s="2" customFormat="1" ht="18" customHeight="1">
      <c r="A390" s="46"/>
      <c r="B390" s="46"/>
      <c r="C390" s="46"/>
      <c r="D390" s="46"/>
      <c r="E390" s="46"/>
      <c r="F390" s="46"/>
      <c r="G390" s="46"/>
      <c r="H390" s="46"/>
      <c r="I390" s="22" t="s">
        <v>82</v>
      </c>
      <c r="J390" s="22" t="s">
        <v>87</v>
      </c>
      <c r="K390" s="23" t="e">
        <f>K391</f>
        <v>#REF!</v>
      </c>
      <c r="L390" s="23"/>
      <c r="M390" s="162">
        <f>M391+M396+M401</f>
        <v>133290</v>
      </c>
      <c r="N390" s="162">
        <f>N391+N396+N401</f>
        <v>-6442.15</v>
      </c>
      <c r="O390" s="162">
        <f t="shared" si="76"/>
        <v>126847.85</v>
      </c>
      <c r="P390" s="73" t="e">
        <f>M390/K390*100</f>
        <v>#REF!</v>
      </c>
      <c r="Q390" s="83"/>
      <c r="R390" s="83"/>
    </row>
    <row r="391" spans="1:20" s="2" customFormat="1" ht="15.75">
      <c r="A391" s="18"/>
      <c r="B391" s="18"/>
      <c r="C391" s="18"/>
      <c r="D391" s="18"/>
      <c r="E391" s="18"/>
      <c r="F391" s="18"/>
      <c r="G391" s="18"/>
      <c r="H391" s="18"/>
      <c r="I391" s="25" t="s">
        <v>84</v>
      </c>
      <c r="J391" s="25" t="s">
        <v>88</v>
      </c>
      <c r="K391" s="16" t="e">
        <f>K394</f>
        <v>#REF!</v>
      </c>
      <c r="L391" s="16"/>
      <c r="M391" s="163">
        <f>M394</f>
        <v>81000</v>
      </c>
      <c r="N391" s="163">
        <f>N394</f>
        <v>0</v>
      </c>
      <c r="O391" s="163">
        <f t="shared" si="76"/>
        <v>81000</v>
      </c>
      <c r="P391" s="74" t="e">
        <f>M391/K391*100</f>
        <v>#REF!</v>
      </c>
      <c r="Q391" s="83"/>
      <c r="R391" s="83"/>
    </row>
    <row r="392" spans="1:20" s="2" customFormat="1" ht="15.75">
      <c r="A392" s="45"/>
      <c r="B392" s="45"/>
      <c r="C392" s="45"/>
      <c r="D392" s="45"/>
      <c r="E392" s="45"/>
      <c r="F392" s="45"/>
      <c r="G392" s="45"/>
      <c r="H392" s="45"/>
      <c r="I392" s="114" t="s">
        <v>89</v>
      </c>
      <c r="J392" s="115"/>
      <c r="K392" s="116"/>
      <c r="L392" s="116"/>
      <c r="M392" s="164">
        <f>M393</f>
        <v>81000</v>
      </c>
      <c r="N392" s="164">
        <f>N393</f>
        <v>0</v>
      </c>
      <c r="O392" s="164">
        <f t="shared" si="76"/>
        <v>81000</v>
      </c>
      <c r="P392" s="30"/>
      <c r="Q392" s="83"/>
      <c r="R392" s="83"/>
    </row>
    <row r="393" spans="1:20" s="59" customFormat="1" ht="18" customHeight="1">
      <c r="A393" s="54"/>
      <c r="B393" s="54"/>
      <c r="C393" s="54"/>
      <c r="D393" s="54"/>
      <c r="E393" s="54"/>
      <c r="F393" s="54"/>
      <c r="G393" s="54"/>
      <c r="H393" s="54"/>
      <c r="I393" s="55"/>
      <c r="J393" s="56" t="s">
        <v>312</v>
      </c>
      <c r="K393" s="57"/>
      <c r="L393" s="57"/>
      <c r="M393" s="166">
        <f t="shared" ref="M393:N394" si="80">M394</f>
        <v>81000</v>
      </c>
      <c r="N393" s="166">
        <f t="shared" si="80"/>
        <v>0</v>
      </c>
      <c r="O393" s="166">
        <f t="shared" si="76"/>
        <v>81000</v>
      </c>
      <c r="P393" s="58"/>
      <c r="Q393" s="83"/>
      <c r="R393" s="83"/>
      <c r="S393" s="2"/>
      <c r="T393" s="2"/>
    </row>
    <row r="394" spans="1:20" s="2" customFormat="1" ht="15.75">
      <c r="A394" s="36"/>
      <c r="B394" s="36"/>
      <c r="C394" s="36"/>
      <c r="D394" s="36"/>
      <c r="E394" s="36"/>
      <c r="F394" s="36"/>
      <c r="G394" s="36"/>
      <c r="H394" s="36"/>
      <c r="I394" s="35">
        <v>3</v>
      </c>
      <c r="J394" s="36" t="s">
        <v>10</v>
      </c>
      <c r="K394" s="37" t="e">
        <f>K395</f>
        <v>#REF!</v>
      </c>
      <c r="L394" s="37"/>
      <c r="M394" s="167">
        <f t="shared" si="80"/>
        <v>81000</v>
      </c>
      <c r="N394" s="167">
        <f t="shared" si="80"/>
        <v>0</v>
      </c>
      <c r="O394" s="167">
        <f t="shared" si="76"/>
        <v>81000</v>
      </c>
      <c r="P394" s="38" t="e">
        <f>M394/K394*100</f>
        <v>#REF!</v>
      </c>
      <c r="Q394" s="38"/>
      <c r="R394" s="38"/>
    </row>
    <row r="395" spans="1:20" s="2" customFormat="1" ht="15.75">
      <c r="A395" s="36"/>
      <c r="B395" s="36"/>
      <c r="C395" s="36"/>
      <c r="D395" s="36"/>
      <c r="E395" s="36"/>
      <c r="F395" s="36"/>
      <c r="G395" s="36"/>
      <c r="H395" s="36"/>
      <c r="I395" s="35">
        <v>38</v>
      </c>
      <c r="J395" s="36" t="s">
        <v>275</v>
      </c>
      <c r="K395" s="37" t="e">
        <f>#REF!</f>
        <v>#REF!</v>
      </c>
      <c r="L395" s="37"/>
      <c r="M395" s="167">
        <v>81000</v>
      </c>
      <c r="N395" s="167">
        <v>0</v>
      </c>
      <c r="O395" s="167">
        <f t="shared" si="76"/>
        <v>81000</v>
      </c>
      <c r="P395" s="38" t="e">
        <f>M395/K395*100</f>
        <v>#REF!</v>
      </c>
      <c r="Q395" s="38"/>
      <c r="R395" s="38"/>
    </row>
    <row r="396" spans="1:20" s="2" customFormat="1" ht="15.75">
      <c r="A396" s="36"/>
      <c r="B396" s="36"/>
      <c r="C396" s="36"/>
      <c r="D396" s="36"/>
      <c r="E396" s="36"/>
      <c r="F396" s="36"/>
      <c r="G396" s="36"/>
      <c r="H396" s="36"/>
      <c r="I396" s="25" t="s">
        <v>279</v>
      </c>
      <c r="J396" s="25" t="s">
        <v>280</v>
      </c>
      <c r="K396" s="16" t="e">
        <f>#REF!</f>
        <v>#REF!</v>
      </c>
      <c r="L396" s="16"/>
      <c r="M396" s="163">
        <f>M397</f>
        <v>17000</v>
      </c>
      <c r="N396" s="163">
        <f t="shared" ref="N396" si="81">N397</f>
        <v>-7666.9</v>
      </c>
      <c r="O396" s="163">
        <f t="shared" si="76"/>
        <v>9333.1</v>
      </c>
      <c r="P396" s="38"/>
      <c r="Q396" s="38"/>
      <c r="R396" s="38"/>
    </row>
    <row r="397" spans="1:20" s="2" customFormat="1" ht="15.75">
      <c r="A397" s="36"/>
      <c r="B397" s="36"/>
      <c r="C397" s="36"/>
      <c r="D397" s="36"/>
      <c r="E397" s="36"/>
      <c r="F397" s="36"/>
      <c r="G397" s="36"/>
      <c r="H397" s="36"/>
      <c r="I397" s="114" t="s">
        <v>89</v>
      </c>
      <c r="J397" s="115"/>
      <c r="K397" s="116"/>
      <c r="L397" s="116"/>
      <c r="M397" s="164">
        <f>M398</f>
        <v>17000</v>
      </c>
      <c r="N397" s="164">
        <f>N398</f>
        <v>-7666.9</v>
      </c>
      <c r="O397" s="164">
        <f>M397+N397</f>
        <v>9333.1</v>
      </c>
      <c r="P397" s="38"/>
      <c r="Q397" s="38"/>
      <c r="R397" s="38"/>
    </row>
    <row r="398" spans="1:20" s="2" customFormat="1" ht="15.75">
      <c r="A398" s="36"/>
      <c r="B398" s="36"/>
      <c r="C398" s="36"/>
      <c r="D398" s="36"/>
      <c r="E398" s="36"/>
      <c r="F398" s="36"/>
      <c r="G398" s="36"/>
      <c r="H398" s="36"/>
      <c r="I398" s="84"/>
      <c r="J398" s="86" t="s">
        <v>312</v>
      </c>
      <c r="K398" s="85"/>
      <c r="L398" s="85"/>
      <c r="M398" s="191">
        <f t="shared" ref="M398:N399" si="82">M399</f>
        <v>17000</v>
      </c>
      <c r="N398" s="191">
        <f t="shared" si="82"/>
        <v>-7666.9</v>
      </c>
      <c r="O398" s="191">
        <f t="shared" ref="O398:O400" si="83">M398+N398</f>
        <v>9333.1</v>
      </c>
      <c r="P398" s="38"/>
      <c r="Q398" s="38"/>
      <c r="R398" s="38"/>
    </row>
    <row r="399" spans="1:20" s="2" customFormat="1" ht="15.75">
      <c r="A399" s="36"/>
      <c r="B399" s="36"/>
      <c r="C399" s="36"/>
      <c r="D399" s="36"/>
      <c r="E399" s="36"/>
      <c r="F399" s="36"/>
      <c r="G399" s="36"/>
      <c r="H399" s="36"/>
      <c r="I399" s="35">
        <v>3</v>
      </c>
      <c r="J399" s="36" t="s">
        <v>10</v>
      </c>
      <c r="K399" s="37" t="e">
        <f>K400</f>
        <v>#REF!</v>
      </c>
      <c r="L399" s="37"/>
      <c r="M399" s="167">
        <f t="shared" si="82"/>
        <v>17000</v>
      </c>
      <c r="N399" s="167">
        <f t="shared" si="82"/>
        <v>-7666.9</v>
      </c>
      <c r="O399" s="167">
        <f t="shared" si="83"/>
        <v>9333.1</v>
      </c>
      <c r="P399" s="38"/>
      <c r="Q399" s="38"/>
      <c r="R399" s="38"/>
    </row>
    <row r="400" spans="1:20" s="2" customFormat="1" ht="15.75">
      <c r="A400" s="36"/>
      <c r="B400" s="36"/>
      <c r="C400" s="36"/>
      <c r="D400" s="36"/>
      <c r="E400" s="36"/>
      <c r="F400" s="36"/>
      <c r="G400" s="36"/>
      <c r="H400" s="36"/>
      <c r="I400" s="35">
        <v>32</v>
      </c>
      <c r="J400" s="36" t="s">
        <v>17</v>
      </c>
      <c r="K400" s="37" t="e">
        <f>#REF!</f>
        <v>#REF!</v>
      </c>
      <c r="L400" s="37"/>
      <c r="M400" s="167">
        <v>17000</v>
      </c>
      <c r="N400" s="167">
        <v>-7666.9</v>
      </c>
      <c r="O400" s="167">
        <f t="shared" si="83"/>
        <v>9333.1</v>
      </c>
      <c r="P400" s="38"/>
      <c r="Q400" s="38"/>
      <c r="R400" s="38"/>
    </row>
    <row r="401" spans="1:20" s="2" customFormat="1" ht="15.75">
      <c r="A401" s="36"/>
      <c r="B401" s="36"/>
      <c r="C401" s="36"/>
      <c r="D401" s="36"/>
      <c r="E401" s="36"/>
      <c r="F401" s="36"/>
      <c r="G401" s="36"/>
      <c r="H401" s="36"/>
      <c r="I401" s="25" t="s">
        <v>291</v>
      </c>
      <c r="J401" s="25" t="s">
        <v>294</v>
      </c>
      <c r="K401" s="16" t="e">
        <f>K404</f>
        <v>#REF!</v>
      </c>
      <c r="L401" s="16"/>
      <c r="M401" s="163">
        <f>M402</f>
        <v>35290</v>
      </c>
      <c r="N401" s="163">
        <f>N402</f>
        <v>1224.75</v>
      </c>
      <c r="O401" s="163">
        <f t="shared" si="76"/>
        <v>36514.75</v>
      </c>
      <c r="P401" s="38"/>
      <c r="Q401" s="38"/>
      <c r="R401" s="38"/>
    </row>
    <row r="402" spans="1:20" s="2" customFormat="1" ht="15.75">
      <c r="A402" s="36"/>
      <c r="B402" s="36"/>
      <c r="C402" s="36"/>
      <c r="D402" s="36"/>
      <c r="E402" s="36"/>
      <c r="F402" s="36"/>
      <c r="G402" s="36"/>
      <c r="H402" s="36"/>
      <c r="I402" s="114" t="s">
        <v>89</v>
      </c>
      <c r="J402" s="115"/>
      <c r="K402" s="116"/>
      <c r="L402" s="116"/>
      <c r="M402" s="164">
        <f>M403+M406</f>
        <v>35290</v>
      </c>
      <c r="N402" s="164">
        <f>N403+N406</f>
        <v>1224.75</v>
      </c>
      <c r="O402" s="164">
        <f t="shared" si="76"/>
        <v>36514.75</v>
      </c>
      <c r="P402" s="38"/>
      <c r="Q402" s="38"/>
      <c r="R402" s="38"/>
    </row>
    <row r="403" spans="1:20" s="2" customFormat="1" ht="15.75">
      <c r="A403" s="36"/>
      <c r="B403" s="36"/>
      <c r="C403" s="36"/>
      <c r="D403" s="36"/>
      <c r="E403" s="36"/>
      <c r="F403" s="36"/>
      <c r="G403" s="36"/>
      <c r="H403" s="36"/>
      <c r="I403" s="55"/>
      <c r="J403" s="56" t="s">
        <v>313</v>
      </c>
      <c r="K403" s="57"/>
      <c r="L403" s="57"/>
      <c r="M403" s="166">
        <f t="shared" ref="M403:N404" si="84">M404</f>
        <v>28232</v>
      </c>
      <c r="N403" s="166">
        <f t="shared" si="84"/>
        <v>0</v>
      </c>
      <c r="O403" s="166">
        <f t="shared" si="76"/>
        <v>28232</v>
      </c>
      <c r="P403" s="38"/>
      <c r="Q403" s="38"/>
      <c r="R403" s="38"/>
    </row>
    <row r="404" spans="1:20" s="2" customFormat="1" ht="15.75">
      <c r="A404" s="36"/>
      <c r="B404" s="36"/>
      <c r="C404" s="36"/>
      <c r="D404" s="36"/>
      <c r="E404" s="36"/>
      <c r="F404" s="36"/>
      <c r="G404" s="36"/>
      <c r="H404" s="36"/>
      <c r="I404" s="35">
        <v>4</v>
      </c>
      <c r="J404" s="35" t="s">
        <v>11</v>
      </c>
      <c r="K404" s="37" t="e">
        <f>K405</f>
        <v>#REF!</v>
      </c>
      <c r="L404" s="37"/>
      <c r="M404" s="167">
        <f>M405</f>
        <v>28232</v>
      </c>
      <c r="N404" s="167">
        <f t="shared" si="84"/>
        <v>0</v>
      </c>
      <c r="O404" s="167">
        <f t="shared" si="76"/>
        <v>28232</v>
      </c>
      <c r="P404" s="38"/>
      <c r="Q404" s="38"/>
      <c r="R404" s="38"/>
    </row>
    <row r="405" spans="1:20" s="2" customFormat="1" ht="15.75">
      <c r="A405" s="36"/>
      <c r="B405" s="36"/>
      <c r="C405" s="36"/>
      <c r="D405" s="36"/>
      <c r="E405" s="36"/>
      <c r="F405" s="36"/>
      <c r="G405" s="36"/>
      <c r="H405" s="36"/>
      <c r="I405" s="35">
        <v>42</v>
      </c>
      <c r="J405" s="35" t="s">
        <v>20</v>
      </c>
      <c r="K405" s="37" t="e">
        <f>#REF!</f>
        <v>#REF!</v>
      </c>
      <c r="L405" s="37"/>
      <c r="M405" s="167">
        <v>28232</v>
      </c>
      <c r="N405" s="167">
        <v>0</v>
      </c>
      <c r="O405" s="167">
        <f t="shared" si="76"/>
        <v>28232</v>
      </c>
      <c r="P405" s="38"/>
      <c r="Q405" s="38"/>
      <c r="R405" s="38"/>
    </row>
    <row r="406" spans="1:20" s="2" customFormat="1" ht="15.75">
      <c r="A406" s="36"/>
      <c r="B406" s="36"/>
      <c r="C406" s="36"/>
      <c r="D406" s="36"/>
      <c r="E406" s="36"/>
      <c r="F406" s="36"/>
      <c r="G406" s="36"/>
      <c r="H406" s="36"/>
      <c r="I406" s="84"/>
      <c r="J406" s="86" t="s">
        <v>312</v>
      </c>
      <c r="K406" s="85"/>
      <c r="L406" s="85"/>
      <c r="M406" s="191">
        <f>M409</f>
        <v>7058</v>
      </c>
      <c r="N406" s="191">
        <f>N409+N407</f>
        <v>1224.75</v>
      </c>
      <c r="O406" s="191">
        <f t="shared" si="76"/>
        <v>8282.75</v>
      </c>
      <c r="P406" s="38"/>
      <c r="Q406" s="38"/>
      <c r="R406" s="38"/>
    </row>
    <row r="407" spans="1:20" s="2" customFormat="1" ht="15.75">
      <c r="A407" s="36"/>
      <c r="B407" s="36"/>
      <c r="C407" s="36"/>
      <c r="D407" s="36"/>
      <c r="E407" s="36"/>
      <c r="F407" s="36"/>
      <c r="G407" s="36"/>
      <c r="H407" s="36"/>
      <c r="I407" s="35">
        <v>3</v>
      </c>
      <c r="J407" s="36" t="s">
        <v>10</v>
      </c>
      <c r="K407" s="269"/>
      <c r="L407" s="269"/>
      <c r="M407" s="168">
        <f>M408</f>
        <v>0</v>
      </c>
      <c r="N407" s="168">
        <f>N408</f>
        <v>112.5</v>
      </c>
      <c r="O407" s="168">
        <f>M407+N407</f>
        <v>112.5</v>
      </c>
      <c r="P407" s="38"/>
      <c r="Q407" s="38"/>
      <c r="R407" s="38"/>
    </row>
    <row r="408" spans="1:20" s="2" customFormat="1" ht="15.75">
      <c r="A408" s="36"/>
      <c r="B408" s="36"/>
      <c r="C408" s="36"/>
      <c r="D408" s="36"/>
      <c r="E408" s="36"/>
      <c r="F408" s="36"/>
      <c r="G408" s="36"/>
      <c r="H408" s="36"/>
      <c r="I408" s="35">
        <v>32</v>
      </c>
      <c r="J408" s="36" t="s">
        <v>17</v>
      </c>
      <c r="K408" s="269"/>
      <c r="L408" s="269"/>
      <c r="M408" s="168">
        <v>0</v>
      </c>
      <c r="N408" s="168">
        <v>112.5</v>
      </c>
      <c r="O408" s="168">
        <f>M408+N408</f>
        <v>112.5</v>
      </c>
      <c r="P408" s="38"/>
      <c r="Q408" s="38"/>
      <c r="R408" s="38"/>
    </row>
    <row r="409" spans="1:20" s="2" customFormat="1" ht="15.75">
      <c r="A409" s="36"/>
      <c r="B409" s="36"/>
      <c r="C409" s="36"/>
      <c r="D409" s="36"/>
      <c r="E409" s="36"/>
      <c r="F409" s="36"/>
      <c r="G409" s="36"/>
      <c r="H409" s="36"/>
      <c r="I409" s="35">
        <v>4</v>
      </c>
      <c r="J409" s="36" t="s">
        <v>11</v>
      </c>
      <c r="K409" s="37" t="e">
        <f>K410</f>
        <v>#REF!</v>
      </c>
      <c r="L409" s="37"/>
      <c r="M409" s="167">
        <f t="shared" ref="M409:N409" si="85">M410</f>
        <v>7058</v>
      </c>
      <c r="N409" s="167">
        <f t="shared" si="85"/>
        <v>1112.25</v>
      </c>
      <c r="O409" s="167">
        <f t="shared" si="76"/>
        <v>8170.25</v>
      </c>
      <c r="P409" s="38"/>
      <c r="Q409" s="38"/>
      <c r="R409" s="38"/>
    </row>
    <row r="410" spans="1:20" s="2" customFormat="1" ht="15.75">
      <c r="A410" s="36"/>
      <c r="B410" s="36"/>
      <c r="C410" s="36"/>
      <c r="D410" s="36"/>
      <c r="E410" s="36"/>
      <c r="F410" s="36"/>
      <c r="G410" s="36"/>
      <c r="H410" s="36"/>
      <c r="I410" s="35">
        <v>42</v>
      </c>
      <c r="J410" s="36" t="s">
        <v>20</v>
      </c>
      <c r="K410" s="37" t="e">
        <f>#REF!</f>
        <v>#REF!</v>
      </c>
      <c r="L410" s="37"/>
      <c r="M410" s="167">
        <v>7058</v>
      </c>
      <c r="N410" s="167">
        <v>1112.25</v>
      </c>
      <c r="O410" s="167">
        <f t="shared" si="76"/>
        <v>8170.25</v>
      </c>
      <c r="P410" s="38"/>
      <c r="Q410" s="38"/>
      <c r="R410" s="38"/>
    </row>
    <row r="411" spans="1:20" s="2" customFormat="1" ht="19.5" customHeight="1">
      <c r="A411" s="46"/>
      <c r="B411" s="46"/>
      <c r="C411" s="46"/>
      <c r="D411" s="46"/>
      <c r="E411" s="46"/>
      <c r="F411" s="46"/>
      <c r="G411" s="46"/>
      <c r="H411" s="46"/>
      <c r="I411" s="22" t="s">
        <v>134</v>
      </c>
      <c r="J411" s="22" t="s">
        <v>91</v>
      </c>
      <c r="K411" s="23" t="e">
        <f>K412</f>
        <v>#REF!</v>
      </c>
      <c r="L411" s="23"/>
      <c r="M411" s="162">
        <f>M412</f>
        <v>33500</v>
      </c>
      <c r="N411" s="162">
        <f>N412</f>
        <v>0</v>
      </c>
      <c r="O411" s="162">
        <f t="shared" si="76"/>
        <v>33500</v>
      </c>
      <c r="P411" s="24" t="e">
        <f>M411/K411*100</f>
        <v>#REF!</v>
      </c>
      <c r="Q411" s="83"/>
      <c r="R411" s="83"/>
    </row>
    <row r="412" spans="1:20" s="2" customFormat="1" ht="15.75">
      <c r="A412" s="18"/>
      <c r="B412" s="18"/>
      <c r="C412" s="18"/>
      <c r="D412" s="18"/>
      <c r="E412" s="18"/>
      <c r="F412" s="18"/>
      <c r="G412" s="18"/>
      <c r="H412" s="18"/>
      <c r="I412" s="25" t="s">
        <v>135</v>
      </c>
      <c r="J412" s="25" t="s">
        <v>93</v>
      </c>
      <c r="K412" s="16" t="e">
        <f>K415</f>
        <v>#REF!</v>
      </c>
      <c r="L412" s="16"/>
      <c r="M412" s="163">
        <f>M413+M417</f>
        <v>33500</v>
      </c>
      <c r="N412" s="163">
        <f>N413+N417</f>
        <v>0</v>
      </c>
      <c r="O412" s="163">
        <f>O413+O417</f>
        <v>33500</v>
      </c>
      <c r="P412" s="26" t="e">
        <f>M412/K412*100</f>
        <v>#REF!</v>
      </c>
      <c r="Q412" s="83"/>
      <c r="R412" s="83"/>
    </row>
    <row r="413" spans="1:20" s="2" customFormat="1" ht="15.75">
      <c r="A413" s="45"/>
      <c r="B413" s="45"/>
      <c r="C413" s="45"/>
      <c r="D413" s="45"/>
      <c r="E413" s="45"/>
      <c r="F413" s="45"/>
      <c r="G413" s="45"/>
      <c r="H413" s="45"/>
      <c r="I413" s="114" t="s">
        <v>94</v>
      </c>
      <c r="J413" s="115"/>
      <c r="K413" s="115"/>
      <c r="L413" s="115"/>
      <c r="M413" s="189">
        <f>M414</f>
        <v>30000</v>
      </c>
      <c r="N413" s="266">
        <f>N414</f>
        <v>0</v>
      </c>
      <c r="O413" s="189">
        <f t="shared" ref="O413:O441" si="86">M413+N413</f>
        <v>30000</v>
      </c>
      <c r="P413" s="141">
        <v>100000</v>
      </c>
      <c r="Q413" s="83"/>
      <c r="R413" s="83"/>
    </row>
    <row r="414" spans="1:20" s="59" customFormat="1" ht="16.5" customHeight="1">
      <c r="A414" s="54"/>
      <c r="B414" s="54"/>
      <c r="C414" s="54"/>
      <c r="D414" s="54"/>
      <c r="E414" s="54"/>
      <c r="F414" s="54"/>
      <c r="G414" s="54"/>
      <c r="H414" s="54"/>
      <c r="I414" s="55"/>
      <c r="J414" s="56" t="s">
        <v>312</v>
      </c>
      <c r="K414" s="57"/>
      <c r="L414" s="57"/>
      <c r="M414" s="166">
        <f t="shared" ref="M414:N415" si="87">M415</f>
        <v>30000</v>
      </c>
      <c r="N414" s="166">
        <f t="shared" si="87"/>
        <v>0</v>
      </c>
      <c r="O414" s="166">
        <f t="shared" si="86"/>
        <v>30000</v>
      </c>
      <c r="P414" s="58"/>
      <c r="Q414" s="83"/>
      <c r="R414" s="83"/>
      <c r="S414" s="2"/>
      <c r="T414" s="2"/>
    </row>
    <row r="415" spans="1:20" s="2" customFormat="1" ht="15.75">
      <c r="A415" s="36"/>
      <c r="B415" s="36"/>
      <c r="C415" s="36"/>
      <c r="D415" s="36"/>
      <c r="E415" s="36"/>
      <c r="F415" s="36"/>
      <c r="G415" s="36"/>
      <c r="H415" s="36"/>
      <c r="I415" s="35">
        <v>3</v>
      </c>
      <c r="J415" s="36" t="s">
        <v>10</v>
      </c>
      <c r="K415" s="37" t="e">
        <f>K416</f>
        <v>#REF!</v>
      </c>
      <c r="L415" s="37"/>
      <c r="M415" s="167">
        <f t="shared" si="87"/>
        <v>30000</v>
      </c>
      <c r="N415" s="167">
        <f t="shared" si="87"/>
        <v>0</v>
      </c>
      <c r="O415" s="167">
        <f t="shared" si="86"/>
        <v>30000</v>
      </c>
      <c r="P415" s="38" t="e">
        <f>M415/K415*100</f>
        <v>#REF!</v>
      </c>
      <c r="Q415" s="38"/>
      <c r="R415" s="38"/>
    </row>
    <row r="416" spans="1:20" s="2" customFormat="1" ht="15.75">
      <c r="A416" s="36"/>
      <c r="B416" s="36"/>
      <c r="C416" s="36"/>
      <c r="D416" s="36"/>
      <c r="E416" s="36"/>
      <c r="F416" s="36"/>
      <c r="G416" s="36"/>
      <c r="H416" s="36"/>
      <c r="I416" s="35">
        <v>38</v>
      </c>
      <c r="J416" s="36" t="s">
        <v>275</v>
      </c>
      <c r="K416" s="37" t="e">
        <f>#REF!</f>
        <v>#REF!</v>
      </c>
      <c r="L416" s="37"/>
      <c r="M416" s="167">
        <v>30000</v>
      </c>
      <c r="N416" s="167">
        <v>0</v>
      </c>
      <c r="O416" s="167">
        <f t="shared" si="86"/>
        <v>30000</v>
      </c>
      <c r="P416" s="38" t="e">
        <f>M416/K416*100</f>
        <v>#REF!</v>
      </c>
      <c r="Q416" s="38"/>
      <c r="R416" s="38"/>
    </row>
    <row r="417" spans="1:20" s="2" customFormat="1" ht="15.75">
      <c r="A417" s="45"/>
      <c r="B417" s="45"/>
      <c r="C417" s="45"/>
      <c r="D417" s="45"/>
      <c r="E417" s="45"/>
      <c r="F417" s="45"/>
      <c r="G417" s="45"/>
      <c r="H417" s="45"/>
      <c r="I417" s="114" t="s">
        <v>127</v>
      </c>
      <c r="J417" s="115"/>
      <c r="K417" s="116"/>
      <c r="L417" s="116"/>
      <c r="M417" s="274">
        <f>M418</f>
        <v>3500</v>
      </c>
      <c r="N417" s="219">
        <f>N418</f>
        <v>0</v>
      </c>
      <c r="O417" s="219">
        <f t="shared" si="86"/>
        <v>3500</v>
      </c>
      <c r="P417" s="30"/>
      <c r="Q417" s="83"/>
      <c r="R417" s="83"/>
    </row>
    <row r="418" spans="1:20" s="59" customFormat="1" ht="16.5" customHeight="1">
      <c r="A418" s="54"/>
      <c r="B418" s="54"/>
      <c r="C418" s="54"/>
      <c r="D418" s="54"/>
      <c r="E418" s="54"/>
      <c r="F418" s="54"/>
      <c r="G418" s="54"/>
      <c r="H418" s="54"/>
      <c r="I418" s="55"/>
      <c r="J418" s="56" t="s">
        <v>312</v>
      </c>
      <c r="K418" s="57"/>
      <c r="L418" s="57"/>
      <c r="M418" s="166">
        <f t="shared" ref="M418:N419" si="88">M419</f>
        <v>3500</v>
      </c>
      <c r="N418" s="166">
        <f t="shared" si="88"/>
        <v>0</v>
      </c>
      <c r="O418" s="166">
        <f t="shared" si="86"/>
        <v>3500</v>
      </c>
      <c r="P418" s="58"/>
      <c r="Q418" s="83"/>
      <c r="R418" s="83"/>
      <c r="S418" s="2"/>
      <c r="T418" s="2"/>
    </row>
    <row r="419" spans="1:20" s="2" customFormat="1" ht="15.75">
      <c r="A419" s="36"/>
      <c r="B419" s="36"/>
      <c r="C419" s="36"/>
      <c r="D419" s="36"/>
      <c r="E419" s="36"/>
      <c r="F419" s="36"/>
      <c r="G419" s="36"/>
      <c r="H419" s="36"/>
      <c r="I419" s="35">
        <v>3</v>
      </c>
      <c r="J419" s="36" t="s">
        <v>10</v>
      </c>
      <c r="K419" s="37" t="e">
        <f>K420</f>
        <v>#REF!</v>
      </c>
      <c r="L419" s="37"/>
      <c r="M419" s="167">
        <f t="shared" si="88"/>
        <v>3500</v>
      </c>
      <c r="N419" s="167">
        <f t="shared" si="88"/>
        <v>0</v>
      </c>
      <c r="O419" s="167">
        <f t="shared" si="86"/>
        <v>3500</v>
      </c>
      <c r="P419" s="38" t="e">
        <f t="shared" ref="P419:P424" si="89">M419/K419*100</f>
        <v>#REF!</v>
      </c>
      <c r="Q419" s="38"/>
      <c r="R419" s="38"/>
    </row>
    <row r="420" spans="1:20" s="2" customFormat="1" ht="15.75">
      <c r="A420" s="36"/>
      <c r="B420" s="36"/>
      <c r="C420" s="36"/>
      <c r="D420" s="36"/>
      <c r="E420" s="36"/>
      <c r="F420" s="36"/>
      <c r="G420" s="36"/>
      <c r="H420" s="36"/>
      <c r="I420" s="35">
        <v>38</v>
      </c>
      <c r="J420" s="36" t="s">
        <v>275</v>
      </c>
      <c r="K420" s="37" t="e">
        <f>#REF!</f>
        <v>#REF!</v>
      </c>
      <c r="L420" s="37"/>
      <c r="M420" s="167">
        <v>3500</v>
      </c>
      <c r="N420" s="167">
        <v>0</v>
      </c>
      <c r="O420" s="167">
        <f t="shared" si="86"/>
        <v>3500</v>
      </c>
      <c r="P420" s="38" t="e">
        <f t="shared" si="89"/>
        <v>#REF!</v>
      </c>
      <c r="Q420" s="38"/>
      <c r="R420" s="38"/>
    </row>
    <row r="421" spans="1:20" s="2" customFormat="1" ht="32.25" customHeight="1">
      <c r="A421" s="22"/>
      <c r="B421" s="22"/>
      <c r="C421" s="22"/>
      <c r="D421" s="22"/>
      <c r="E421" s="22"/>
      <c r="F421" s="22"/>
      <c r="G421" s="22"/>
      <c r="H421" s="22"/>
      <c r="I421" s="47" t="s">
        <v>59</v>
      </c>
      <c r="J421" s="22" t="s">
        <v>95</v>
      </c>
      <c r="K421" s="48" t="e">
        <f>K422</f>
        <v>#REF!</v>
      </c>
      <c r="L421" s="48"/>
      <c r="M421" s="174">
        <f>M422</f>
        <v>3008960.9499999997</v>
      </c>
      <c r="N421" s="174">
        <f>SUM(N422)</f>
        <v>-853064.48</v>
      </c>
      <c r="O421" s="174">
        <f t="shared" si="86"/>
        <v>2155896.4699999997</v>
      </c>
      <c r="P421" s="49" t="e">
        <f t="shared" si="89"/>
        <v>#REF!</v>
      </c>
      <c r="Q421" s="38"/>
      <c r="R421" s="38"/>
    </row>
    <row r="422" spans="1:20" s="2" customFormat="1" ht="30" customHeight="1">
      <c r="A422" s="50"/>
      <c r="B422" s="50"/>
      <c r="C422" s="50"/>
      <c r="D422" s="50"/>
      <c r="E422" s="50"/>
      <c r="F422" s="50"/>
      <c r="G422" s="50"/>
      <c r="H422" s="50"/>
      <c r="I422" s="79" t="s">
        <v>60</v>
      </c>
      <c r="J422" s="25" t="s">
        <v>95</v>
      </c>
      <c r="K422" s="51" t="e">
        <f>K423+#REF!</f>
        <v>#REF!</v>
      </c>
      <c r="L422" s="51"/>
      <c r="M422" s="175">
        <f>M423+M455+M478</f>
        <v>3008960.9499999997</v>
      </c>
      <c r="N422" s="175">
        <f>SUM(N423+N455+N478)</f>
        <v>-853064.48</v>
      </c>
      <c r="O422" s="175">
        <f t="shared" si="86"/>
        <v>2155896.4699999997</v>
      </c>
      <c r="P422" s="52" t="e">
        <f t="shared" si="89"/>
        <v>#REF!</v>
      </c>
      <c r="Q422" s="38"/>
      <c r="R422" s="38"/>
    </row>
    <row r="423" spans="1:20" s="2" customFormat="1" ht="18.75" customHeight="1">
      <c r="A423" s="46"/>
      <c r="B423" s="46"/>
      <c r="C423" s="46"/>
      <c r="D423" s="46"/>
      <c r="E423" s="46"/>
      <c r="F423" s="46"/>
      <c r="G423" s="46"/>
      <c r="H423" s="46"/>
      <c r="I423" s="22" t="s">
        <v>90</v>
      </c>
      <c r="J423" s="22" t="s">
        <v>97</v>
      </c>
      <c r="K423" s="23" t="e">
        <f>#REF!+K424+#REF!+K436</f>
        <v>#REF!</v>
      </c>
      <c r="L423" s="23"/>
      <c r="M423" s="162">
        <f>M424+M441+M436</f>
        <v>221206.53</v>
      </c>
      <c r="N423" s="162">
        <f>SUM(N424+N436+N441)</f>
        <v>4978.2900000000045</v>
      </c>
      <c r="O423" s="162">
        <f t="shared" si="86"/>
        <v>226184.82</v>
      </c>
      <c r="P423" s="24" t="e">
        <f t="shared" si="89"/>
        <v>#REF!</v>
      </c>
      <c r="Q423" s="83"/>
      <c r="R423" s="83"/>
    </row>
    <row r="424" spans="1:20" s="2" customFormat="1" ht="31.5">
      <c r="A424" s="18"/>
      <c r="B424" s="18"/>
      <c r="C424" s="18"/>
      <c r="D424" s="18"/>
      <c r="E424" s="18"/>
      <c r="F424" s="18"/>
      <c r="G424" s="18"/>
      <c r="H424" s="18"/>
      <c r="I424" s="25" t="s">
        <v>92</v>
      </c>
      <c r="J424" s="25" t="s">
        <v>254</v>
      </c>
      <c r="K424" s="16" t="e">
        <f>K427</f>
        <v>#REF!</v>
      </c>
      <c r="L424" s="16"/>
      <c r="M424" s="163">
        <f>M425+M432</f>
        <v>79062.5</v>
      </c>
      <c r="N424" s="163">
        <f>N425+N432</f>
        <v>0</v>
      </c>
      <c r="O424" s="163">
        <f t="shared" si="86"/>
        <v>79062.5</v>
      </c>
      <c r="P424" s="26" t="e">
        <f t="shared" si="89"/>
        <v>#REF!</v>
      </c>
      <c r="Q424" s="83"/>
      <c r="R424" s="83"/>
    </row>
    <row r="425" spans="1:20" s="2" customFormat="1" ht="22.5" customHeight="1">
      <c r="A425" s="45"/>
      <c r="B425" s="45"/>
      <c r="C425" s="45"/>
      <c r="D425" s="45"/>
      <c r="E425" s="45"/>
      <c r="F425" s="45"/>
      <c r="G425" s="45"/>
      <c r="H425" s="45"/>
      <c r="I425" s="114" t="s">
        <v>52</v>
      </c>
      <c r="J425" s="115"/>
      <c r="K425" s="116"/>
      <c r="L425" s="116"/>
      <c r="M425" s="164">
        <f>M426+M429</f>
        <v>39062.5</v>
      </c>
      <c r="N425" s="164">
        <f>N426+N429</f>
        <v>0</v>
      </c>
      <c r="O425" s="164">
        <f t="shared" si="86"/>
        <v>39062.5</v>
      </c>
      <c r="P425" s="30"/>
      <c r="Q425" s="83"/>
      <c r="R425" s="83"/>
    </row>
    <row r="426" spans="1:20" s="2" customFormat="1" ht="15.75">
      <c r="A426" s="45"/>
      <c r="B426" s="45"/>
      <c r="C426" s="45"/>
      <c r="D426" s="45"/>
      <c r="E426" s="45"/>
      <c r="F426" s="45"/>
      <c r="G426" s="45"/>
      <c r="H426" s="45"/>
      <c r="I426" s="55"/>
      <c r="J426" s="56" t="s">
        <v>304</v>
      </c>
      <c r="K426" s="57"/>
      <c r="L426" s="57"/>
      <c r="M426" s="166">
        <f>M427</f>
        <v>19062.5</v>
      </c>
      <c r="N426" s="166">
        <f t="shared" ref="N426" si="90">N427</f>
        <v>20000</v>
      </c>
      <c r="O426" s="166">
        <f t="shared" si="86"/>
        <v>39062.5</v>
      </c>
      <c r="P426" s="30"/>
      <c r="Q426" s="83"/>
      <c r="R426" s="83"/>
    </row>
    <row r="427" spans="1:20" s="2" customFormat="1" ht="15.75">
      <c r="A427" s="36"/>
      <c r="B427" s="36"/>
      <c r="C427" s="36"/>
      <c r="D427" s="36"/>
      <c r="E427" s="36"/>
      <c r="F427" s="36"/>
      <c r="G427" s="36"/>
      <c r="H427" s="36"/>
      <c r="I427" s="35">
        <v>3</v>
      </c>
      <c r="J427" s="36" t="s">
        <v>10</v>
      </c>
      <c r="K427" s="37" t="e">
        <f>K428</f>
        <v>#REF!</v>
      </c>
      <c r="L427" s="37"/>
      <c r="M427" s="167">
        <f>M428</f>
        <v>19062.5</v>
      </c>
      <c r="N427" s="167">
        <f>N428</f>
        <v>20000</v>
      </c>
      <c r="O427" s="167">
        <f t="shared" si="86"/>
        <v>39062.5</v>
      </c>
      <c r="P427" s="38" t="e">
        <f>M427/K427*100</f>
        <v>#REF!</v>
      </c>
      <c r="Q427" s="38"/>
      <c r="R427" s="38"/>
    </row>
    <row r="428" spans="1:20" s="2" customFormat="1" ht="15.75">
      <c r="A428" s="36"/>
      <c r="B428" s="36"/>
      <c r="C428" s="36"/>
      <c r="D428" s="36"/>
      <c r="E428" s="36"/>
      <c r="F428" s="36"/>
      <c r="G428" s="36"/>
      <c r="H428" s="36"/>
      <c r="I428" s="35">
        <v>32</v>
      </c>
      <c r="J428" s="36" t="s">
        <v>17</v>
      </c>
      <c r="K428" s="37" t="e">
        <f>#REF!+#REF!</f>
        <v>#REF!</v>
      </c>
      <c r="L428" s="37"/>
      <c r="M428" s="167">
        <v>19062.5</v>
      </c>
      <c r="N428" s="167">
        <v>20000</v>
      </c>
      <c r="O428" s="167">
        <f t="shared" si="86"/>
        <v>39062.5</v>
      </c>
      <c r="P428" s="38" t="e">
        <f>M428/K428*100</f>
        <v>#REF!</v>
      </c>
      <c r="Q428" s="38"/>
      <c r="R428" s="38"/>
    </row>
    <row r="429" spans="1:20" s="2" customFormat="1" ht="15.75">
      <c r="A429" s="36"/>
      <c r="B429" s="36"/>
      <c r="C429" s="36"/>
      <c r="D429" s="36"/>
      <c r="E429" s="36"/>
      <c r="F429" s="36"/>
      <c r="G429" s="36"/>
      <c r="H429" s="36"/>
      <c r="I429" s="55"/>
      <c r="J429" s="56" t="s">
        <v>313</v>
      </c>
      <c r="K429" s="57"/>
      <c r="L429" s="57"/>
      <c r="M429" s="166">
        <f t="shared" ref="M429:N429" si="91">M430</f>
        <v>20000</v>
      </c>
      <c r="N429" s="166">
        <f t="shared" si="91"/>
        <v>-20000</v>
      </c>
      <c r="O429" s="166">
        <f t="shared" si="86"/>
        <v>0</v>
      </c>
      <c r="P429" s="38"/>
      <c r="Q429" s="38"/>
      <c r="R429" s="38"/>
    </row>
    <row r="430" spans="1:20" s="2" customFormat="1" ht="15.75">
      <c r="A430" s="36"/>
      <c r="B430" s="36"/>
      <c r="C430" s="36"/>
      <c r="D430" s="36"/>
      <c r="E430" s="36"/>
      <c r="F430" s="36"/>
      <c r="G430" s="36"/>
      <c r="H430" s="36"/>
      <c r="I430" s="35">
        <v>3</v>
      </c>
      <c r="J430" s="36" t="s">
        <v>10</v>
      </c>
      <c r="K430" s="37" t="e">
        <f>K431</f>
        <v>#REF!</v>
      </c>
      <c r="L430" s="37"/>
      <c r="M430" s="167">
        <f>M431</f>
        <v>20000</v>
      </c>
      <c r="N430" s="167">
        <f>N431</f>
        <v>-20000</v>
      </c>
      <c r="O430" s="167">
        <f t="shared" si="86"/>
        <v>0</v>
      </c>
      <c r="P430" s="38"/>
      <c r="Q430" s="38"/>
      <c r="R430" s="38"/>
    </row>
    <row r="431" spans="1:20" s="2" customFormat="1" ht="15.75">
      <c r="A431" s="36"/>
      <c r="B431" s="36"/>
      <c r="C431" s="36"/>
      <c r="D431" s="36"/>
      <c r="E431" s="36"/>
      <c r="F431" s="36"/>
      <c r="G431" s="36"/>
      <c r="H431" s="36"/>
      <c r="I431" s="35">
        <v>32</v>
      </c>
      <c r="J431" s="36" t="s">
        <v>17</v>
      </c>
      <c r="K431" s="37" t="e">
        <f>#REF!</f>
        <v>#REF!</v>
      </c>
      <c r="L431" s="37"/>
      <c r="M431" s="167">
        <v>20000</v>
      </c>
      <c r="N431" s="167">
        <v>-20000</v>
      </c>
      <c r="O431" s="167">
        <f t="shared" si="86"/>
        <v>0</v>
      </c>
      <c r="P431" s="38"/>
      <c r="Q431" s="38"/>
      <c r="R431" s="38"/>
    </row>
    <row r="432" spans="1:20" s="2" customFormat="1" ht="15.75">
      <c r="A432" s="45"/>
      <c r="B432" s="45"/>
      <c r="C432" s="45"/>
      <c r="D432" s="45"/>
      <c r="E432" s="45"/>
      <c r="F432" s="45"/>
      <c r="G432" s="45"/>
      <c r="H432" s="45"/>
      <c r="I432" s="114" t="s">
        <v>98</v>
      </c>
      <c r="J432" s="115"/>
      <c r="K432" s="116"/>
      <c r="L432" s="116"/>
      <c r="M432" s="164">
        <f>M433</f>
        <v>40000</v>
      </c>
      <c r="N432" s="164">
        <f>N433</f>
        <v>0</v>
      </c>
      <c r="O432" s="164">
        <f t="shared" si="86"/>
        <v>40000</v>
      </c>
      <c r="P432" s="30"/>
      <c r="Q432" s="83"/>
      <c r="R432" s="83"/>
    </row>
    <row r="433" spans="1:18" s="2" customFormat="1" ht="15.75">
      <c r="A433" s="45"/>
      <c r="B433" s="45"/>
      <c r="C433" s="45"/>
      <c r="D433" s="45"/>
      <c r="E433" s="45"/>
      <c r="F433" s="45"/>
      <c r="G433" s="45"/>
      <c r="H433" s="45"/>
      <c r="I433" s="55"/>
      <c r="J433" s="56" t="s">
        <v>304</v>
      </c>
      <c r="K433" s="57"/>
      <c r="L433" s="57"/>
      <c r="M433" s="166">
        <f t="shared" ref="M433:N433" si="92">M434</f>
        <v>40000</v>
      </c>
      <c r="N433" s="166">
        <f t="shared" si="92"/>
        <v>0</v>
      </c>
      <c r="O433" s="166">
        <f t="shared" si="86"/>
        <v>40000</v>
      </c>
      <c r="P433" s="30"/>
      <c r="Q433" s="83"/>
      <c r="R433" s="83"/>
    </row>
    <row r="434" spans="1:18" s="2" customFormat="1" ht="15.75">
      <c r="A434" s="36"/>
      <c r="B434" s="36"/>
      <c r="C434" s="36"/>
      <c r="D434" s="36"/>
      <c r="E434" s="36"/>
      <c r="F434" s="36"/>
      <c r="G434" s="36"/>
      <c r="H434" s="36"/>
      <c r="I434" s="35">
        <v>3</v>
      </c>
      <c r="J434" s="36" t="s">
        <v>10</v>
      </c>
      <c r="K434" s="37" t="e">
        <f>K435</f>
        <v>#REF!</v>
      </c>
      <c r="L434" s="37"/>
      <c r="M434" s="167">
        <f>M435</f>
        <v>40000</v>
      </c>
      <c r="N434" s="167">
        <f>N435</f>
        <v>0</v>
      </c>
      <c r="O434" s="167">
        <f t="shared" si="86"/>
        <v>40000</v>
      </c>
      <c r="P434" s="38" t="e">
        <f>M434/K434*100</f>
        <v>#REF!</v>
      </c>
      <c r="Q434" s="38"/>
      <c r="R434" s="38"/>
    </row>
    <row r="435" spans="1:18" s="2" customFormat="1" ht="15.75">
      <c r="A435" s="36"/>
      <c r="B435" s="36"/>
      <c r="C435" s="36"/>
      <c r="D435" s="36"/>
      <c r="E435" s="36"/>
      <c r="F435" s="36"/>
      <c r="G435" s="36"/>
      <c r="H435" s="36"/>
      <c r="I435" s="35">
        <v>32</v>
      </c>
      <c r="J435" s="36" t="s">
        <v>17</v>
      </c>
      <c r="K435" s="37" t="e">
        <f>#REF!</f>
        <v>#REF!</v>
      </c>
      <c r="L435" s="37"/>
      <c r="M435" s="167">
        <v>40000</v>
      </c>
      <c r="N435" s="167">
        <v>0</v>
      </c>
      <c r="O435" s="167">
        <f t="shared" si="86"/>
        <v>40000</v>
      </c>
      <c r="P435" s="38" t="e">
        <f>M435/K435*100</f>
        <v>#REF!</v>
      </c>
      <c r="Q435" s="38"/>
      <c r="R435" s="38"/>
    </row>
    <row r="436" spans="1:18" s="2" customFormat="1" ht="15.75">
      <c r="A436" s="18"/>
      <c r="B436" s="18"/>
      <c r="C436" s="18"/>
      <c r="D436" s="18"/>
      <c r="E436" s="18"/>
      <c r="F436" s="18"/>
      <c r="G436" s="18"/>
      <c r="H436" s="18"/>
      <c r="I436" s="25" t="s">
        <v>116</v>
      </c>
      <c r="J436" s="25" t="s">
        <v>143</v>
      </c>
      <c r="K436" s="16" t="e">
        <f>K439</f>
        <v>#REF!</v>
      </c>
      <c r="L436" s="16"/>
      <c r="M436" s="163">
        <f>M437</f>
        <v>25217.32</v>
      </c>
      <c r="N436" s="163">
        <f>N438</f>
        <v>0</v>
      </c>
      <c r="O436" s="163">
        <f t="shared" si="86"/>
        <v>25217.32</v>
      </c>
      <c r="P436" s="26" t="e">
        <f>M436/K436*100</f>
        <v>#REF!</v>
      </c>
      <c r="Q436" s="83"/>
      <c r="R436" s="83"/>
    </row>
    <row r="437" spans="1:18" s="2" customFormat="1" ht="15.75">
      <c r="A437" s="45"/>
      <c r="B437" s="45"/>
      <c r="C437" s="45"/>
      <c r="D437" s="45"/>
      <c r="E437" s="45"/>
      <c r="F437" s="45"/>
      <c r="G437" s="45"/>
      <c r="H437" s="45"/>
      <c r="I437" s="114" t="s">
        <v>99</v>
      </c>
      <c r="J437" s="115"/>
      <c r="K437" s="116"/>
      <c r="L437" s="116"/>
      <c r="M437" s="164">
        <f>M438</f>
        <v>25217.32</v>
      </c>
      <c r="N437" s="164">
        <f t="shared" ref="N437" si="93">N438</f>
        <v>0</v>
      </c>
      <c r="O437" s="164">
        <f t="shared" si="86"/>
        <v>25217.32</v>
      </c>
      <c r="P437" s="30"/>
      <c r="Q437" s="83"/>
      <c r="R437" s="83"/>
    </row>
    <row r="438" spans="1:18" s="2" customFormat="1" ht="15.75">
      <c r="A438" s="45"/>
      <c r="B438" s="45"/>
      <c r="C438" s="45"/>
      <c r="D438" s="45"/>
      <c r="E438" s="45"/>
      <c r="F438" s="45"/>
      <c r="G438" s="45"/>
      <c r="H438" s="45"/>
      <c r="I438" s="55"/>
      <c r="J438" s="56" t="s">
        <v>304</v>
      </c>
      <c r="K438" s="57"/>
      <c r="L438" s="57"/>
      <c r="M438" s="166">
        <f t="shared" ref="M438:N439" si="94">M439</f>
        <v>25217.32</v>
      </c>
      <c r="N438" s="166">
        <f t="shared" si="94"/>
        <v>0</v>
      </c>
      <c r="O438" s="166">
        <f t="shared" si="86"/>
        <v>25217.32</v>
      </c>
      <c r="P438" s="30"/>
      <c r="Q438" s="83"/>
      <c r="R438" s="83"/>
    </row>
    <row r="439" spans="1:18" s="2" customFormat="1" ht="15.75">
      <c r="A439" s="36"/>
      <c r="B439" s="36"/>
      <c r="C439" s="36"/>
      <c r="D439" s="36"/>
      <c r="E439" s="36"/>
      <c r="F439" s="36"/>
      <c r="G439" s="36"/>
      <c r="H439" s="36"/>
      <c r="I439" s="35">
        <v>3</v>
      </c>
      <c r="J439" s="36" t="s">
        <v>10</v>
      </c>
      <c r="K439" s="37" t="e">
        <f>K440</f>
        <v>#REF!</v>
      </c>
      <c r="L439" s="37"/>
      <c r="M439" s="167">
        <f t="shared" si="94"/>
        <v>25217.32</v>
      </c>
      <c r="N439" s="167">
        <f t="shared" si="94"/>
        <v>0</v>
      </c>
      <c r="O439" s="167">
        <f t="shared" si="86"/>
        <v>25217.32</v>
      </c>
      <c r="P439" s="38" t="e">
        <f>M439/K439*100</f>
        <v>#REF!</v>
      </c>
      <c r="Q439" s="38"/>
      <c r="R439" s="38"/>
    </row>
    <row r="440" spans="1:18" s="2" customFormat="1" ht="15.75">
      <c r="A440" s="36"/>
      <c r="B440" s="36"/>
      <c r="C440" s="36"/>
      <c r="D440" s="36"/>
      <c r="E440" s="36"/>
      <c r="F440" s="36"/>
      <c r="G440" s="36"/>
      <c r="H440" s="36"/>
      <c r="I440" s="35">
        <v>32</v>
      </c>
      <c r="J440" s="36" t="s">
        <v>17</v>
      </c>
      <c r="K440" s="37" t="e">
        <f>#REF!+#REF!</f>
        <v>#REF!</v>
      </c>
      <c r="L440" s="37"/>
      <c r="M440" s="167">
        <v>25217.32</v>
      </c>
      <c r="N440" s="167">
        <v>0</v>
      </c>
      <c r="O440" s="167">
        <f t="shared" si="86"/>
        <v>25217.32</v>
      </c>
      <c r="P440" s="38" t="e">
        <f>M440/K440*100</f>
        <v>#REF!</v>
      </c>
      <c r="Q440" s="38"/>
      <c r="R440" s="38"/>
    </row>
    <row r="441" spans="1:18" s="2" customFormat="1" ht="17.25" customHeight="1">
      <c r="A441" s="18"/>
      <c r="B441" s="18"/>
      <c r="C441" s="18"/>
      <c r="D441" s="18"/>
      <c r="E441" s="18"/>
      <c r="F441" s="18"/>
      <c r="G441" s="18"/>
      <c r="H441" s="18"/>
      <c r="I441" s="25" t="s">
        <v>117</v>
      </c>
      <c r="J441" s="25" t="s">
        <v>122</v>
      </c>
      <c r="K441" s="16" t="e">
        <f>#REF!</f>
        <v>#REF!</v>
      </c>
      <c r="L441" s="16"/>
      <c r="M441" s="163">
        <f>M442+M451</f>
        <v>116926.70999999999</v>
      </c>
      <c r="N441" s="163">
        <f>N442+N451</f>
        <v>4978.2900000000045</v>
      </c>
      <c r="O441" s="163">
        <f t="shared" si="86"/>
        <v>121905</v>
      </c>
      <c r="P441" s="26" t="e">
        <f>M441/K441*100</f>
        <v>#REF!</v>
      </c>
      <c r="Q441" s="83"/>
      <c r="R441" s="83"/>
    </row>
    <row r="442" spans="1:18" s="2" customFormat="1" ht="15.75">
      <c r="A442" s="45"/>
      <c r="B442" s="45"/>
      <c r="C442" s="45"/>
      <c r="D442" s="45"/>
      <c r="E442" s="45"/>
      <c r="F442" s="45"/>
      <c r="G442" s="45"/>
      <c r="H442" s="45"/>
      <c r="I442" s="114" t="s">
        <v>102</v>
      </c>
      <c r="J442" s="115"/>
      <c r="K442" s="116"/>
      <c r="L442" s="116"/>
      <c r="M442" s="164">
        <f>M444+M448</f>
        <v>115068.59</v>
      </c>
      <c r="N442" s="173">
        <f>N444+N448</f>
        <v>4181.9500000000044</v>
      </c>
      <c r="O442" s="173">
        <f>M442+N442</f>
        <v>119250.54000000001</v>
      </c>
      <c r="P442" s="30"/>
      <c r="Q442" s="83"/>
      <c r="R442" s="83"/>
    </row>
    <row r="443" spans="1:18" s="36" customFormat="1" ht="15.75" hidden="1">
      <c r="I443" s="39"/>
      <c r="J443" s="40"/>
      <c r="K443" s="41"/>
      <c r="L443" s="41"/>
      <c r="M443" s="92"/>
      <c r="N443" s="91"/>
      <c r="O443" s="91"/>
      <c r="P443" s="42"/>
      <c r="Q443" s="42"/>
      <c r="R443" s="42"/>
    </row>
    <row r="444" spans="1:18" s="36" customFormat="1" ht="15.75">
      <c r="I444" s="55"/>
      <c r="J444" s="56" t="s">
        <v>304</v>
      </c>
      <c r="K444" s="57"/>
      <c r="L444" s="57"/>
      <c r="M444" s="166">
        <f>M445</f>
        <v>112811.12</v>
      </c>
      <c r="N444" s="166">
        <f>N445</f>
        <v>-42398.17</v>
      </c>
      <c r="O444" s="166">
        <f t="shared" ref="O444:O481" si="95">M444+N444</f>
        <v>70412.95</v>
      </c>
      <c r="P444" s="42"/>
      <c r="Q444" s="42"/>
      <c r="R444" s="42"/>
    </row>
    <row r="445" spans="1:18" s="36" customFormat="1" ht="15.75">
      <c r="I445" s="35">
        <v>3</v>
      </c>
      <c r="J445" s="36" t="s">
        <v>10</v>
      </c>
      <c r="K445" s="37" t="e">
        <f>K446</f>
        <v>#REF!</v>
      </c>
      <c r="L445" s="37"/>
      <c r="M445" s="167">
        <f>M446+M447</f>
        <v>112811.12</v>
      </c>
      <c r="N445" s="167">
        <f>N446+N447</f>
        <v>-42398.17</v>
      </c>
      <c r="O445" s="167">
        <f t="shared" si="95"/>
        <v>70412.95</v>
      </c>
      <c r="P445" s="42"/>
      <c r="Q445" s="42"/>
      <c r="R445" s="42"/>
    </row>
    <row r="446" spans="1:18" s="36" customFormat="1" ht="15.75">
      <c r="I446" s="35">
        <v>32</v>
      </c>
      <c r="J446" s="36" t="s">
        <v>17</v>
      </c>
      <c r="K446" s="37" t="e">
        <f>#REF!+K455</f>
        <v>#REF!</v>
      </c>
      <c r="L446" s="37"/>
      <c r="M446" s="167">
        <v>112811.12</v>
      </c>
      <c r="N446" s="167">
        <v>-42398.17</v>
      </c>
      <c r="O446" s="167">
        <f t="shared" si="95"/>
        <v>70412.95</v>
      </c>
      <c r="P446" s="42"/>
      <c r="Q446" s="42"/>
      <c r="R446" s="42"/>
    </row>
    <row r="447" spans="1:18" s="36" customFormat="1" ht="15.75">
      <c r="I447" s="35">
        <v>36</v>
      </c>
      <c r="J447" s="35" t="s">
        <v>124</v>
      </c>
      <c r="K447" s="37" t="e">
        <f>#REF!</f>
        <v>#REF!</v>
      </c>
      <c r="L447" s="37"/>
      <c r="M447" s="167">
        <v>0</v>
      </c>
      <c r="N447" s="167">
        <v>0</v>
      </c>
      <c r="O447" s="167">
        <f t="shared" si="95"/>
        <v>0</v>
      </c>
      <c r="P447" s="42"/>
      <c r="Q447" s="42"/>
      <c r="R447" s="42"/>
    </row>
    <row r="448" spans="1:18" s="36" customFormat="1" ht="15.75">
      <c r="I448" s="55"/>
      <c r="J448" s="56" t="s">
        <v>312</v>
      </c>
      <c r="K448" s="57"/>
      <c r="L448" s="57"/>
      <c r="M448" s="166">
        <f t="shared" ref="M448:N449" si="96">M449</f>
        <v>2257.4699999999998</v>
      </c>
      <c r="N448" s="166">
        <f t="shared" si="96"/>
        <v>46580.12</v>
      </c>
      <c r="O448" s="166">
        <f t="shared" si="95"/>
        <v>48837.590000000004</v>
      </c>
      <c r="P448" s="42"/>
      <c r="Q448" s="42"/>
      <c r="R448" s="42"/>
    </row>
    <row r="449" spans="1:20" s="36" customFormat="1" ht="15.75">
      <c r="I449" s="35">
        <v>3</v>
      </c>
      <c r="J449" s="36" t="s">
        <v>10</v>
      </c>
      <c r="K449" s="37" t="e">
        <f>K450</f>
        <v>#REF!</v>
      </c>
      <c r="L449" s="37"/>
      <c r="M449" s="167">
        <f t="shared" si="96"/>
        <v>2257.4699999999998</v>
      </c>
      <c r="N449" s="167">
        <f t="shared" si="96"/>
        <v>46580.12</v>
      </c>
      <c r="O449" s="167">
        <f t="shared" si="95"/>
        <v>48837.590000000004</v>
      </c>
      <c r="P449" s="42"/>
      <c r="Q449" s="42"/>
      <c r="R449" s="42"/>
    </row>
    <row r="450" spans="1:20" s="36" customFormat="1" ht="15.75">
      <c r="I450" s="35">
        <v>32</v>
      </c>
      <c r="J450" s="36" t="s">
        <v>17</v>
      </c>
      <c r="K450" s="37" t="e">
        <f>#REF!+#REF!</f>
        <v>#REF!</v>
      </c>
      <c r="L450" s="37"/>
      <c r="M450" s="167">
        <v>2257.4699999999998</v>
      </c>
      <c r="N450" s="167">
        <v>46580.12</v>
      </c>
      <c r="O450" s="167">
        <f t="shared" si="95"/>
        <v>48837.590000000004</v>
      </c>
      <c r="P450" s="42"/>
      <c r="Q450" s="42"/>
      <c r="R450" s="42"/>
    </row>
    <row r="451" spans="1:20" s="2" customFormat="1" ht="15.75">
      <c r="A451" s="45"/>
      <c r="B451" s="45"/>
      <c r="C451" s="45"/>
      <c r="D451" s="45"/>
      <c r="E451" s="45"/>
      <c r="F451" s="45"/>
      <c r="G451" s="45"/>
      <c r="H451" s="45"/>
      <c r="I451" s="114" t="s">
        <v>105</v>
      </c>
      <c r="J451" s="115"/>
      <c r="K451" s="116"/>
      <c r="L451" s="116"/>
      <c r="M451" s="164">
        <f>M452</f>
        <v>1858.12</v>
      </c>
      <c r="N451" s="164">
        <f>N452</f>
        <v>796.34</v>
      </c>
      <c r="O451" s="164">
        <f t="shared" si="95"/>
        <v>2654.46</v>
      </c>
      <c r="P451" s="30"/>
      <c r="Q451" s="83"/>
      <c r="R451" s="83"/>
    </row>
    <row r="452" spans="1:20" s="2" customFormat="1" ht="15.75">
      <c r="A452" s="45"/>
      <c r="B452" s="45"/>
      <c r="C452" s="45"/>
      <c r="D452" s="45"/>
      <c r="E452" s="45"/>
      <c r="F452" s="45"/>
      <c r="G452" s="45"/>
      <c r="H452" s="45"/>
      <c r="I452" s="55"/>
      <c r="J452" s="56" t="s">
        <v>304</v>
      </c>
      <c r="K452" s="57"/>
      <c r="L452" s="57"/>
      <c r="M452" s="166">
        <f t="shared" ref="M452:N453" si="97">M453</f>
        <v>1858.12</v>
      </c>
      <c r="N452" s="166">
        <f t="shared" si="97"/>
        <v>796.34</v>
      </c>
      <c r="O452" s="166">
        <f t="shared" si="95"/>
        <v>2654.46</v>
      </c>
      <c r="P452" s="30"/>
      <c r="Q452" s="83"/>
      <c r="R452" s="83"/>
    </row>
    <row r="453" spans="1:20" s="36" customFormat="1" ht="15.75">
      <c r="I453" s="35">
        <v>3</v>
      </c>
      <c r="J453" s="36" t="s">
        <v>10</v>
      </c>
      <c r="K453" s="37" t="e">
        <f>#REF!+K454+#REF!+#REF!</f>
        <v>#REF!</v>
      </c>
      <c r="L453" s="37"/>
      <c r="M453" s="167">
        <f t="shared" si="97"/>
        <v>1858.12</v>
      </c>
      <c r="N453" s="167">
        <f t="shared" si="97"/>
        <v>796.34</v>
      </c>
      <c r="O453" s="167">
        <f t="shared" si="95"/>
        <v>2654.46</v>
      </c>
      <c r="P453" s="38" t="e">
        <f>M453/K453*100</f>
        <v>#REF!</v>
      </c>
      <c r="Q453" s="38"/>
      <c r="R453" s="38"/>
    </row>
    <row r="454" spans="1:20" s="36" customFormat="1" ht="15.75">
      <c r="I454" s="35">
        <v>32</v>
      </c>
      <c r="J454" s="36" t="s">
        <v>17</v>
      </c>
      <c r="K454" s="37" t="e">
        <f>#REF!+#REF!+#REF!+#REF!+#REF!</f>
        <v>#REF!</v>
      </c>
      <c r="L454" s="37"/>
      <c r="M454" s="167">
        <v>1858.12</v>
      </c>
      <c r="N454" s="167">
        <v>796.34</v>
      </c>
      <c r="O454" s="167">
        <f t="shared" si="95"/>
        <v>2654.46</v>
      </c>
      <c r="P454" s="38" t="e">
        <f>M454/K454*100</f>
        <v>#REF!</v>
      </c>
      <c r="Q454" s="38"/>
      <c r="R454" s="38"/>
    </row>
    <row r="455" spans="1:20" s="2" customFormat="1" ht="35.25" customHeight="1">
      <c r="A455" s="46"/>
      <c r="B455" s="46"/>
      <c r="C455" s="46"/>
      <c r="D455" s="46"/>
      <c r="E455" s="46"/>
      <c r="F455" s="46"/>
      <c r="G455" s="46"/>
      <c r="H455" s="46"/>
      <c r="I455" s="22" t="s">
        <v>96</v>
      </c>
      <c r="J455" s="22" t="s">
        <v>138</v>
      </c>
      <c r="K455" s="23" t="e">
        <f>K456+#REF!+#REF!+#REF!</f>
        <v>#REF!</v>
      </c>
      <c r="L455" s="23"/>
      <c r="M455" s="162">
        <f>M456+M467</f>
        <v>30399.24</v>
      </c>
      <c r="N455" s="162">
        <f>N456+N467</f>
        <v>14290.400000000001</v>
      </c>
      <c r="O455" s="162">
        <f t="shared" si="95"/>
        <v>44689.64</v>
      </c>
      <c r="P455" s="24" t="e">
        <f>M455/K455*100</f>
        <v>#REF!</v>
      </c>
      <c r="Q455" s="83"/>
      <c r="R455" s="83"/>
    </row>
    <row r="456" spans="1:20" s="2" customFormat="1" ht="15.75">
      <c r="A456" s="18"/>
      <c r="B456" s="18"/>
      <c r="C456" s="18"/>
      <c r="D456" s="18"/>
      <c r="E456" s="18"/>
      <c r="F456" s="18"/>
      <c r="G456" s="18"/>
      <c r="H456" s="18"/>
      <c r="I456" s="25" t="s">
        <v>123</v>
      </c>
      <c r="J456" s="25" t="s">
        <v>153</v>
      </c>
      <c r="K456" s="16" t="e">
        <f>K459</f>
        <v>#REF!</v>
      </c>
      <c r="L456" s="16"/>
      <c r="M456" s="163">
        <f>M457</f>
        <v>8500</v>
      </c>
      <c r="N456" s="163">
        <f>N457</f>
        <v>-3500</v>
      </c>
      <c r="O456" s="163">
        <f t="shared" si="95"/>
        <v>5000</v>
      </c>
      <c r="P456" s="26" t="e">
        <f>M456/K456*100</f>
        <v>#REF!</v>
      </c>
      <c r="Q456" s="83"/>
      <c r="R456" s="83"/>
    </row>
    <row r="457" spans="1:20" s="2" customFormat="1" ht="15.75">
      <c r="A457" s="45"/>
      <c r="B457" s="45"/>
      <c r="C457" s="45"/>
      <c r="D457" s="45"/>
      <c r="E457" s="45"/>
      <c r="F457" s="45"/>
      <c r="G457" s="45"/>
      <c r="H457" s="45"/>
      <c r="I457" s="114" t="s">
        <v>102</v>
      </c>
      <c r="J457" s="115"/>
      <c r="K457" s="116"/>
      <c r="L457" s="116"/>
      <c r="M457" s="164">
        <f>M458+M461+M464</f>
        <v>8500</v>
      </c>
      <c r="N457" s="164">
        <f>N458+N461+N464</f>
        <v>-3500</v>
      </c>
      <c r="O457" s="164">
        <f t="shared" si="95"/>
        <v>5000</v>
      </c>
      <c r="P457" s="30"/>
      <c r="Q457" s="83"/>
      <c r="R457" s="83"/>
    </row>
    <row r="458" spans="1:20" s="59" customFormat="1" ht="17.25" customHeight="1">
      <c r="A458" s="54"/>
      <c r="B458" s="54"/>
      <c r="C458" s="54"/>
      <c r="D458" s="54"/>
      <c r="E458" s="54"/>
      <c r="F458" s="54"/>
      <c r="G458" s="54"/>
      <c r="H458" s="54"/>
      <c r="I458" s="55"/>
      <c r="J458" s="56" t="s">
        <v>312</v>
      </c>
      <c r="K458" s="57"/>
      <c r="L458" s="57"/>
      <c r="M458" s="166">
        <f t="shared" ref="M458:M459" si="98">M459</f>
        <v>0</v>
      </c>
      <c r="N458" s="166">
        <f t="shared" ref="N458:N459" si="99">N459</f>
        <v>5000</v>
      </c>
      <c r="O458" s="166">
        <f t="shared" si="95"/>
        <v>5000</v>
      </c>
      <c r="P458" s="58"/>
      <c r="Q458" s="83"/>
      <c r="R458" s="83"/>
      <c r="S458" s="2"/>
      <c r="T458" s="2"/>
    </row>
    <row r="459" spans="1:20" s="2" customFormat="1" ht="15.75">
      <c r="A459" s="36"/>
      <c r="B459" s="36"/>
      <c r="C459" s="36"/>
      <c r="D459" s="36"/>
      <c r="E459" s="36"/>
      <c r="F459" s="36"/>
      <c r="G459" s="36"/>
      <c r="H459" s="36"/>
      <c r="I459" s="35">
        <v>3</v>
      </c>
      <c r="J459" s="36" t="s">
        <v>10</v>
      </c>
      <c r="K459" s="37" t="e">
        <f>K460</f>
        <v>#REF!</v>
      </c>
      <c r="L459" s="37"/>
      <c r="M459" s="167">
        <f t="shared" si="98"/>
        <v>0</v>
      </c>
      <c r="N459" s="167">
        <f t="shared" si="99"/>
        <v>5000</v>
      </c>
      <c r="O459" s="167">
        <f t="shared" si="95"/>
        <v>5000</v>
      </c>
      <c r="P459" s="38" t="e">
        <f>M459/K459*100</f>
        <v>#REF!</v>
      </c>
      <c r="Q459" s="38"/>
      <c r="R459" s="38"/>
    </row>
    <row r="460" spans="1:20" s="2" customFormat="1" ht="15.75">
      <c r="A460" s="36"/>
      <c r="B460" s="36"/>
      <c r="C460" s="36"/>
      <c r="D460" s="36"/>
      <c r="E460" s="36"/>
      <c r="F460" s="36"/>
      <c r="G460" s="36"/>
      <c r="H460" s="36"/>
      <c r="I460" s="35">
        <v>32</v>
      </c>
      <c r="J460" s="36" t="s">
        <v>17</v>
      </c>
      <c r="K460" s="37" t="e">
        <f>#REF!</f>
        <v>#REF!</v>
      </c>
      <c r="L460" s="37"/>
      <c r="M460" s="167">
        <v>0</v>
      </c>
      <c r="N460" s="167">
        <v>5000</v>
      </c>
      <c r="O460" s="167">
        <f t="shared" si="95"/>
        <v>5000</v>
      </c>
      <c r="P460" s="38" t="e">
        <f>M460/K460*100</f>
        <v>#REF!</v>
      </c>
      <c r="Q460" s="38"/>
      <c r="R460" s="38"/>
    </row>
    <row r="461" spans="1:20" s="2" customFormat="1" ht="15.75">
      <c r="A461" s="36"/>
      <c r="B461" s="36"/>
      <c r="C461" s="36"/>
      <c r="D461" s="36"/>
      <c r="E461" s="36"/>
      <c r="F461" s="36"/>
      <c r="G461" s="36"/>
      <c r="H461" s="36"/>
      <c r="I461" s="55"/>
      <c r="J461" s="56" t="s">
        <v>313</v>
      </c>
      <c r="K461" s="57"/>
      <c r="L461" s="57"/>
      <c r="M461" s="166">
        <f t="shared" ref="M461:M464" si="100">M462</f>
        <v>975</v>
      </c>
      <c r="N461" s="166">
        <f>N462</f>
        <v>-975</v>
      </c>
      <c r="O461" s="166">
        <f t="shared" si="95"/>
        <v>0</v>
      </c>
      <c r="P461" s="38"/>
      <c r="Q461" s="42"/>
      <c r="R461" s="42"/>
    </row>
    <row r="462" spans="1:20" s="2" customFormat="1" ht="15.75">
      <c r="A462" s="36"/>
      <c r="B462" s="36"/>
      <c r="C462" s="36"/>
      <c r="D462" s="36"/>
      <c r="E462" s="36"/>
      <c r="F462" s="36"/>
      <c r="G462" s="36"/>
      <c r="H462" s="36"/>
      <c r="I462" s="35">
        <v>3</v>
      </c>
      <c r="J462" s="36" t="s">
        <v>10</v>
      </c>
      <c r="K462" s="37" t="e">
        <f>K463</f>
        <v>#REF!</v>
      </c>
      <c r="L462" s="37"/>
      <c r="M462" s="167">
        <f t="shared" si="100"/>
        <v>975</v>
      </c>
      <c r="N462" s="167">
        <f>N463</f>
        <v>-975</v>
      </c>
      <c r="O462" s="167">
        <f t="shared" si="95"/>
        <v>0</v>
      </c>
      <c r="P462" s="38"/>
      <c r="Q462" s="42"/>
      <c r="R462" s="42"/>
    </row>
    <row r="463" spans="1:20" s="2" customFormat="1" ht="15.75">
      <c r="A463" s="36"/>
      <c r="B463" s="36"/>
      <c r="C463" s="36"/>
      <c r="D463" s="36"/>
      <c r="E463" s="36"/>
      <c r="F463" s="36"/>
      <c r="G463" s="36"/>
      <c r="H463" s="36"/>
      <c r="I463" s="35">
        <v>32</v>
      </c>
      <c r="J463" s="36" t="s">
        <v>17</v>
      </c>
      <c r="K463" s="37" t="e">
        <f>#REF!</f>
        <v>#REF!</v>
      </c>
      <c r="L463" s="37"/>
      <c r="M463" s="167">
        <v>975</v>
      </c>
      <c r="N463" s="167">
        <v>-975</v>
      </c>
      <c r="O463" s="167">
        <f t="shared" si="95"/>
        <v>0</v>
      </c>
      <c r="P463" s="38"/>
      <c r="Q463" s="42"/>
      <c r="R463" s="42"/>
    </row>
    <row r="464" spans="1:20" s="2" customFormat="1" ht="31.5">
      <c r="A464" s="36"/>
      <c r="B464" s="36"/>
      <c r="C464" s="36"/>
      <c r="D464" s="36"/>
      <c r="E464" s="36"/>
      <c r="F464" s="36"/>
      <c r="G464" s="36"/>
      <c r="H464" s="36"/>
      <c r="I464" s="55"/>
      <c r="J464" s="56" t="s">
        <v>318</v>
      </c>
      <c r="K464" s="57"/>
      <c r="L464" s="57"/>
      <c r="M464" s="166">
        <f t="shared" si="100"/>
        <v>7525</v>
      </c>
      <c r="N464" s="166">
        <f>N465</f>
        <v>-7525</v>
      </c>
      <c r="O464" s="166">
        <f t="shared" si="95"/>
        <v>0</v>
      </c>
      <c r="P464" s="38"/>
      <c r="Q464" s="42"/>
      <c r="R464" s="42"/>
    </row>
    <row r="465" spans="1:18" s="2" customFormat="1" ht="15.75">
      <c r="A465" s="36"/>
      <c r="B465" s="36"/>
      <c r="C465" s="36"/>
      <c r="D465" s="36"/>
      <c r="E465" s="36"/>
      <c r="F465" s="36"/>
      <c r="G465" s="36"/>
      <c r="H465" s="36"/>
      <c r="I465" s="35">
        <v>3</v>
      </c>
      <c r="J465" s="36" t="s">
        <v>10</v>
      </c>
      <c r="K465" s="37" t="e">
        <f>K466</f>
        <v>#REF!</v>
      </c>
      <c r="L465" s="37"/>
      <c r="M465" s="167">
        <f>M466</f>
        <v>7525</v>
      </c>
      <c r="N465" s="167">
        <f>N466</f>
        <v>-7525</v>
      </c>
      <c r="O465" s="167">
        <f t="shared" si="95"/>
        <v>0</v>
      </c>
      <c r="P465" s="38"/>
      <c r="Q465" s="42"/>
      <c r="R465" s="42"/>
    </row>
    <row r="466" spans="1:18" s="2" customFormat="1" ht="15.75">
      <c r="A466" s="36"/>
      <c r="B466" s="36"/>
      <c r="C466" s="36"/>
      <c r="D466" s="36"/>
      <c r="E466" s="36"/>
      <c r="F466" s="36"/>
      <c r="G466" s="36"/>
      <c r="H466" s="36"/>
      <c r="I466" s="35">
        <v>32</v>
      </c>
      <c r="J466" s="36" t="s">
        <v>17</v>
      </c>
      <c r="K466" s="37" t="e">
        <f>#REF!</f>
        <v>#REF!</v>
      </c>
      <c r="L466" s="37"/>
      <c r="M466" s="167">
        <v>7525</v>
      </c>
      <c r="N466" s="167">
        <v>-7525</v>
      </c>
      <c r="O466" s="167">
        <f t="shared" si="95"/>
        <v>0</v>
      </c>
      <c r="P466" s="38"/>
      <c r="Q466" s="42"/>
      <c r="R466" s="42"/>
    </row>
    <row r="467" spans="1:18" s="2" customFormat="1" ht="15.75">
      <c r="A467" s="36"/>
      <c r="B467" s="36"/>
      <c r="C467" s="36"/>
      <c r="D467" s="36"/>
      <c r="E467" s="36"/>
      <c r="F467" s="36"/>
      <c r="G467" s="36"/>
      <c r="H467" s="36"/>
      <c r="I467" s="25" t="s">
        <v>167</v>
      </c>
      <c r="J467" s="25" t="s">
        <v>165</v>
      </c>
      <c r="K467" s="16" t="e">
        <f>K470</f>
        <v>#REF!</v>
      </c>
      <c r="L467" s="16"/>
      <c r="M467" s="163">
        <f>M468</f>
        <v>21899.24</v>
      </c>
      <c r="N467" s="163">
        <f>N468</f>
        <v>17790.400000000001</v>
      </c>
      <c r="O467" s="163">
        <f t="shared" si="95"/>
        <v>39689.64</v>
      </c>
      <c r="P467" s="38"/>
      <c r="Q467" s="42"/>
      <c r="R467" s="42"/>
    </row>
    <row r="468" spans="1:18" s="2" customFormat="1" ht="15.75">
      <c r="A468" s="36"/>
      <c r="B468" s="36"/>
      <c r="C468" s="36"/>
      <c r="D468" s="36"/>
      <c r="E468" s="36"/>
      <c r="F468" s="36"/>
      <c r="G468" s="36"/>
      <c r="H468" s="36"/>
      <c r="I468" s="114" t="s">
        <v>102</v>
      </c>
      <c r="J468" s="115"/>
      <c r="K468" s="116"/>
      <c r="L468" s="116"/>
      <c r="M468" s="164">
        <f>M469+M472+M475</f>
        <v>21899.24</v>
      </c>
      <c r="N468" s="164">
        <f>N469+N472+N475</f>
        <v>17790.400000000001</v>
      </c>
      <c r="O468" s="164">
        <f t="shared" si="95"/>
        <v>39689.64</v>
      </c>
      <c r="P468" s="38"/>
      <c r="Q468" s="42"/>
      <c r="R468" s="42"/>
    </row>
    <row r="469" spans="1:18" s="2" customFormat="1" ht="31.5">
      <c r="A469" s="36"/>
      <c r="B469" s="36"/>
      <c r="C469" s="36"/>
      <c r="D469" s="36"/>
      <c r="E469" s="36"/>
      <c r="F469" s="36"/>
      <c r="G469" s="36"/>
      <c r="H469" s="36"/>
      <c r="I469" s="55"/>
      <c r="J469" s="56" t="s">
        <v>318</v>
      </c>
      <c r="K469" s="57"/>
      <c r="L469" s="57"/>
      <c r="M469" s="166">
        <f t="shared" ref="M469:N476" si="101">M470</f>
        <v>21899.24</v>
      </c>
      <c r="N469" s="166">
        <f t="shared" si="101"/>
        <v>-21899.24</v>
      </c>
      <c r="O469" s="166">
        <f t="shared" si="95"/>
        <v>0</v>
      </c>
      <c r="P469" s="38"/>
      <c r="Q469" s="42"/>
      <c r="R469" s="42"/>
    </row>
    <row r="470" spans="1:18" s="2" customFormat="1" ht="15.75">
      <c r="A470" s="36"/>
      <c r="B470" s="36"/>
      <c r="C470" s="36"/>
      <c r="D470" s="36"/>
      <c r="E470" s="36"/>
      <c r="F470" s="36"/>
      <c r="G470" s="36"/>
      <c r="H470" s="36"/>
      <c r="I470" s="35">
        <v>3</v>
      </c>
      <c r="J470" s="36" t="s">
        <v>10</v>
      </c>
      <c r="K470" s="37" t="e">
        <f>K471</f>
        <v>#REF!</v>
      </c>
      <c r="L470" s="37"/>
      <c r="M470" s="167">
        <f t="shared" si="101"/>
        <v>21899.24</v>
      </c>
      <c r="N470" s="167">
        <f>N471</f>
        <v>-21899.24</v>
      </c>
      <c r="O470" s="167">
        <f t="shared" si="95"/>
        <v>0</v>
      </c>
      <c r="P470" s="38"/>
      <c r="Q470" s="42"/>
      <c r="R470" s="42"/>
    </row>
    <row r="471" spans="1:18" s="2" customFormat="1" ht="15.75">
      <c r="A471" s="36"/>
      <c r="B471" s="36"/>
      <c r="C471" s="36"/>
      <c r="D471" s="36"/>
      <c r="E471" s="36"/>
      <c r="F471" s="36"/>
      <c r="G471" s="36"/>
      <c r="H471" s="36"/>
      <c r="I471" s="35">
        <v>35</v>
      </c>
      <c r="J471" s="36" t="s">
        <v>165</v>
      </c>
      <c r="K471" s="37" t="e">
        <f>#REF!</f>
        <v>#REF!</v>
      </c>
      <c r="L471" s="37"/>
      <c r="M471" s="167">
        <v>21899.24</v>
      </c>
      <c r="N471" s="167">
        <v>-21899.24</v>
      </c>
      <c r="O471" s="167">
        <f t="shared" si="95"/>
        <v>0</v>
      </c>
      <c r="P471" s="38"/>
      <c r="Q471" s="42"/>
      <c r="R471" s="42"/>
    </row>
    <row r="472" spans="1:18" s="2" customFormat="1" ht="15.75">
      <c r="A472" s="36"/>
      <c r="B472" s="36"/>
      <c r="C472" s="36"/>
      <c r="D472" s="36"/>
      <c r="E472" s="36"/>
      <c r="F472" s="36"/>
      <c r="G472" s="36"/>
      <c r="H472" s="36"/>
      <c r="I472" s="55"/>
      <c r="J472" s="56" t="s">
        <v>313</v>
      </c>
      <c r="K472" s="57"/>
      <c r="L472" s="57"/>
      <c r="M472" s="166">
        <f t="shared" si="101"/>
        <v>0</v>
      </c>
      <c r="N472" s="166">
        <f t="shared" si="101"/>
        <v>17790.400000000001</v>
      </c>
      <c r="O472" s="166">
        <f t="shared" ref="O472:O474" si="102">M472+N472</f>
        <v>17790.400000000001</v>
      </c>
      <c r="P472" s="38"/>
      <c r="Q472" s="42"/>
      <c r="R472" s="42"/>
    </row>
    <row r="473" spans="1:18" s="2" customFormat="1" ht="15.75">
      <c r="A473" s="36"/>
      <c r="B473" s="36"/>
      <c r="C473" s="36"/>
      <c r="D473" s="36"/>
      <c r="E473" s="36"/>
      <c r="F473" s="36"/>
      <c r="G473" s="36"/>
      <c r="H473" s="36"/>
      <c r="I473" s="35">
        <v>3</v>
      </c>
      <c r="J473" s="36" t="s">
        <v>10</v>
      </c>
      <c r="K473" s="37" t="e">
        <f>K474</f>
        <v>#REF!</v>
      </c>
      <c r="L473" s="37"/>
      <c r="M473" s="167">
        <f t="shared" si="101"/>
        <v>0</v>
      </c>
      <c r="N473" s="167">
        <f>N474</f>
        <v>17790.400000000001</v>
      </c>
      <c r="O473" s="167">
        <f t="shared" si="102"/>
        <v>17790.400000000001</v>
      </c>
      <c r="P473" s="38"/>
      <c r="Q473" s="42"/>
      <c r="R473" s="42"/>
    </row>
    <row r="474" spans="1:18" s="2" customFormat="1" ht="15.75">
      <c r="A474" s="36"/>
      <c r="B474" s="36"/>
      <c r="C474" s="36"/>
      <c r="D474" s="36"/>
      <c r="E474" s="36"/>
      <c r="F474" s="36"/>
      <c r="G474" s="36"/>
      <c r="H474" s="36"/>
      <c r="I474" s="35">
        <v>35</v>
      </c>
      <c r="J474" s="36" t="s">
        <v>165</v>
      </c>
      <c r="K474" s="37" t="e">
        <f>#REF!</f>
        <v>#REF!</v>
      </c>
      <c r="L474" s="37"/>
      <c r="M474" s="167">
        <v>0</v>
      </c>
      <c r="N474" s="167">
        <v>17790.400000000001</v>
      </c>
      <c r="O474" s="167">
        <f t="shared" si="102"/>
        <v>17790.400000000001</v>
      </c>
      <c r="P474" s="38"/>
      <c r="Q474" s="42"/>
      <c r="R474" s="42"/>
    </row>
    <row r="475" spans="1:18" s="2" customFormat="1" ht="15.75">
      <c r="A475" s="36"/>
      <c r="B475" s="36"/>
      <c r="C475" s="36"/>
      <c r="D475" s="36"/>
      <c r="E475" s="36"/>
      <c r="F475" s="36"/>
      <c r="G475" s="36"/>
      <c r="H475" s="36"/>
      <c r="I475" s="55"/>
      <c r="J475" s="56" t="s">
        <v>312</v>
      </c>
      <c r="K475" s="57"/>
      <c r="L475" s="57"/>
      <c r="M475" s="166">
        <f t="shared" si="101"/>
        <v>0</v>
      </c>
      <c r="N475" s="166">
        <f t="shared" si="101"/>
        <v>21899.24</v>
      </c>
      <c r="O475" s="166">
        <f t="shared" ref="O475:O477" si="103">M475+N475</f>
        <v>21899.24</v>
      </c>
      <c r="P475" s="38"/>
      <c r="Q475" s="42"/>
      <c r="R475" s="42"/>
    </row>
    <row r="476" spans="1:18" s="2" customFormat="1" ht="15.75">
      <c r="A476" s="36"/>
      <c r="B476" s="36"/>
      <c r="C476" s="36"/>
      <c r="D476" s="36"/>
      <c r="E476" s="36"/>
      <c r="F476" s="36"/>
      <c r="G476" s="36"/>
      <c r="H476" s="36"/>
      <c r="I476" s="35">
        <v>3</v>
      </c>
      <c r="J476" s="36" t="s">
        <v>10</v>
      </c>
      <c r="K476" s="37" t="e">
        <f>K477</f>
        <v>#REF!</v>
      </c>
      <c r="L476" s="37"/>
      <c r="M476" s="167">
        <f t="shared" si="101"/>
        <v>0</v>
      </c>
      <c r="N476" s="167">
        <f>N477</f>
        <v>21899.24</v>
      </c>
      <c r="O476" s="167">
        <f t="shared" si="103"/>
        <v>21899.24</v>
      </c>
      <c r="P476" s="38"/>
      <c r="Q476" s="42"/>
      <c r="R476" s="42"/>
    </row>
    <row r="477" spans="1:18" s="2" customFormat="1" ht="15.75">
      <c r="A477" s="36"/>
      <c r="B477" s="36"/>
      <c r="C477" s="36"/>
      <c r="D477" s="36"/>
      <c r="E477" s="36"/>
      <c r="F477" s="36"/>
      <c r="G477" s="36"/>
      <c r="H477" s="36"/>
      <c r="I477" s="35">
        <v>35</v>
      </c>
      <c r="J477" s="36" t="s">
        <v>165</v>
      </c>
      <c r="K477" s="37" t="e">
        <f>#REF!</f>
        <v>#REF!</v>
      </c>
      <c r="L477" s="37"/>
      <c r="M477" s="167">
        <v>0</v>
      </c>
      <c r="N477" s="167">
        <v>21899.24</v>
      </c>
      <c r="O477" s="167">
        <f t="shared" si="103"/>
        <v>21899.24</v>
      </c>
      <c r="P477" s="38"/>
      <c r="Q477" s="42"/>
      <c r="R477" s="42"/>
    </row>
    <row r="478" spans="1:18" s="98" customFormat="1" ht="41.25" customHeight="1">
      <c r="A478" s="97"/>
      <c r="B478" s="97"/>
      <c r="C478" s="97"/>
      <c r="D478" s="97"/>
      <c r="E478" s="97"/>
      <c r="F478" s="97"/>
      <c r="G478" s="97"/>
      <c r="H478" s="97"/>
      <c r="I478" s="366" t="s">
        <v>168</v>
      </c>
      <c r="J478" s="366"/>
      <c r="K478" s="139"/>
      <c r="L478" s="139"/>
      <c r="M478" s="190">
        <f>M479+M490+M498+M506+M514+M528+M533+M538+M555</f>
        <v>2757355.1799999997</v>
      </c>
      <c r="N478" s="190">
        <f>N479+N490+N498+N506+N514+N528+N533+N538+N555</f>
        <v>-872333.17</v>
      </c>
      <c r="O478" s="190">
        <f t="shared" si="95"/>
        <v>1885022.0099999998</v>
      </c>
      <c r="P478" s="140"/>
      <c r="Q478" s="140"/>
      <c r="R478" s="140"/>
    </row>
    <row r="479" spans="1:18" s="2" customFormat="1" ht="31.5">
      <c r="A479" s="18"/>
      <c r="B479" s="18"/>
      <c r="C479" s="18"/>
      <c r="D479" s="18"/>
      <c r="E479" s="18"/>
      <c r="F479" s="18"/>
      <c r="G479" s="18"/>
      <c r="H479" s="18"/>
      <c r="I479" s="25" t="s">
        <v>136</v>
      </c>
      <c r="J479" s="25" t="s">
        <v>303</v>
      </c>
      <c r="K479" s="16" t="e">
        <f>#REF!</f>
        <v>#REF!</v>
      </c>
      <c r="L479" s="16"/>
      <c r="M479" s="163">
        <f>M480</f>
        <v>190506</v>
      </c>
      <c r="N479" s="163">
        <f>N480</f>
        <v>-3144.0200000000041</v>
      </c>
      <c r="O479" s="163">
        <f t="shared" si="95"/>
        <v>187361.97999999998</v>
      </c>
      <c r="P479" s="26"/>
      <c r="Q479" s="83"/>
      <c r="R479" s="83"/>
    </row>
    <row r="480" spans="1:18" s="2" customFormat="1" ht="15.75">
      <c r="A480" s="45"/>
      <c r="B480" s="45"/>
      <c r="C480" s="45"/>
      <c r="D480" s="45"/>
      <c r="E480" s="45"/>
      <c r="F480" s="45"/>
      <c r="G480" s="45"/>
      <c r="H480" s="45"/>
      <c r="I480" s="114" t="s">
        <v>98</v>
      </c>
      <c r="J480" s="115"/>
      <c r="K480" s="116"/>
      <c r="L480" s="116"/>
      <c r="M480" s="164">
        <f>M481+M487+M484</f>
        <v>190506</v>
      </c>
      <c r="N480" s="164">
        <f>N481+N484+N487</f>
        <v>-3144.0200000000041</v>
      </c>
      <c r="O480" s="164">
        <f>M480+N480</f>
        <v>187361.97999999998</v>
      </c>
      <c r="P480" s="30"/>
      <c r="Q480" s="83"/>
      <c r="R480" s="83"/>
    </row>
    <row r="481" spans="1:18" s="2" customFormat="1" ht="15.75">
      <c r="A481" s="36"/>
      <c r="B481" s="36"/>
      <c r="C481" s="36"/>
      <c r="D481" s="36"/>
      <c r="E481" s="36"/>
      <c r="F481" s="36"/>
      <c r="G481" s="36"/>
      <c r="H481" s="36"/>
      <c r="I481" s="84"/>
      <c r="J481" s="86" t="s">
        <v>312</v>
      </c>
      <c r="K481" s="85"/>
      <c r="L481" s="85"/>
      <c r="M481" s="191">
        <f t="shared" ref="M481:N482" si="104">M482</f>
        <v>0</v>
      </c>
      <c r="N481" s="191">
        <f t="shared" si="104"/>
        <v>45994.38</v>
      </c>
      <c r="O481" s="191">
        <f t="shared" si="95"/>
        <v>45994.38</v>
      </c>
      <c r="P481" s="42"/>
      <c r="Q481" s="42"/>
      <c r="R481" s="42"/>
    </row>
    <row r="482" spans="1:18" s="2" customFormat="1" ht="15.75">
      <c r="A482" s="36"/>
      <c r="B482" s="36"/>
      <c r="C482" s="36"/>
      <c r="D482" s="36"/>
      <c r="E482" s="36"/>
      <c r="F482" s="36"/>
      <c r="G482" s="36"/>
      <c r="H482" s="36"/>
      <c r="I482" s="35">
        <v>4</v>
      </c>
      <c r="J482" s="36" t="s">
        <v>11</v>
      </c>
      <c r="K482" s="37" t="e">
        <f>K483</f>
        <v>#REF!</v>
      </c>
      <c r="L482" s="37"/>
      <c r="M482" s="167">
        <f t="shared" si="104"/>
        <v>0</v>
      </c>
      <c r="N482" s="167">
        <f t="shared" si="104"/>
        <v>45994.38</v>
      </c>
      <c r="O482" s="167">
        <f t="shared" ref="O482:O505" si="105">M482+N482</f>
        <v>45994.38</v>
      </c>
      <c r="P482" s="38"/>
      <c r="Q482" s="38"/>
      <c r="R482" s="38"/>
    </row>
    <row r="483" spans="1:18" s="2" customFormat="1" ht="17.25" customHeight="1">
      <c r="A483" s="36"/>
      <c r="B483" s="36"/>
      <c r="C483" s="36"/>
      <c r="D483" s="36"/>
      <c r="E483" s="36"/>
      <c r="F483" s="36"/>
      <c r="G483" s="36"/>
      <c r="H483" s="36"/>
      <c r="I483" s="35">
        <v>42</v>
      </c>
      <c r="J483" s="36" t="s">
        <v>20</v>
      </c>
      <c r="K483" s="37" t="e">
        <f>#REF!</f>
        <v>#REF!</v>
      </c>
      <c r="L483" s="37"/>
      <c r="M483" s="167">
        <v>0</v>
      </c>
      <c r="N483" s="167">
        <v>45994.38</v>
      </c>
      <c r="O483" s="167">
        <f t="shared" si="105"/>
        <v>45994.38</v>
      </c>
      <c r="P483" s="38"/>
      <c r="Q483" s="38"/>
      <c r="R483" s="38"/>
    </row>
    <row r="484" spans="1:18" s="2" customFormat="1" ht="17.25" customHeight="1">
      <c r="A484" s="36"/>
      <c r="B484" s="36"/>
      <c r="C484" s="36"/>
      <c r="D484" s="36"/>
      <c r="E484" s="36"/>
      <c r="F484" s="36"/>
      <c r="G484" s="36"/>
      <c r="H484" s="36"/>
      <c r="I484" s="198"/>
      <c r="J484" s="198" t="s">
        <v>319</v>
      </c>
      <c r="K484" s="210"/>
      <c r="L484" s="210"/>
      <c r="M484" s="213">
        <f t="shared" ref="M484:N485" si="106">M485</f>
        <v>140506</v>
      </c>
      <c r="N484" s="213">
        <f t="shared" si="106"/>
        <v>-49138.400000000001</v>
      </c>
      <c r="O484" s="213">
        <f t="shared" si="105"/>
        <v>91367.6</v>
      </c>
      <c r="P484" s="38"/>
      <c r="Q484" s="38"/>
      <c r="R484" s="38"/>
    </row>
    <row r="485" spans="1:18" s="2" customFormat="1" ht="17.25" customHeight="1">
      <c r="A485" s="36"/>
      <c r="B485" s="36"/>
      <c r="C485" s="36"/>
      <c r="D485" s="36"/>
      <c r="E485" s="36"/>
      <c r="F485" s="36"/>
      <c r="G485" s="36"/>
      <c r="H485" s="36"/>
      <c r="I485" s="35">
        <v>4</v>
      </c>
      <c r="J485" s="35" t="s">
        <v>11</v>
      </c>
      <c r="K485" s="145"/>
      <c r="L485" s="145"/>
      <c r="M485" s="192">
        <f t="shared" si="106"/>
        <v>140506</v>
      </c>
      <c r="N485" s="192">
        <f t="shared" si="106"/>
        <v>-49138.400000000001</v>
      </c>
      <c r="O485" s="192">
        <f t="shared" si="105"/>
        <v>91367.6</v>
      </c>
      <c r="P485" s="38"/>
      <c r="Q485" s="38"/>
      <c r="R485" s="38"/>
    </row>
    <row r="486" spans="1:18" s="2" customFormat="1" ht="17.25" customHeight="1">
      <c r="A486" s="36"/>
      <c r="B486" s="36"/>
      <c r="C486" s="36"/>
      <c r="D486" s="36"/>
      <c r="E486" s="36"/>
      <c r="F486" s="36"/>
      <c r="G486" s="36"/>
      <c r="H486" s="36"/>
      <c r="I486" s="35">
        <v>42</v>
      </c>
      <c r="J486" s="35" t="s">
        <v>20</v>
      </c>
      <c r="K486" s="145"/>
      <c r="L486" s="145"/>
      <c r="M486" s="192">
        <v>140506</v>
      </c>
      <c r="N486" s="192">
        <v>-49138.400000000001</v>
      </c>
      <c r="O486" s="192">
        <f t="shared" si="105"/>
        <v>91367.6</v>
      </c>
      <c r="P486" s="38"/>
      <c r="Q486" s="38"/>
      <c r="R486" s="38"/>
    </row>
    <row r="487" spans="1:18" s="199" customFormat="1" ht="15.75">
      <c r="A487" s="123"/>
      <c r="B487" s="123"/>
      <c r="C487" s="123"/>
      <c r="D487" s="123"/>
      <c r="E487" s="123"/>
      <c r="F487" s="123"/>
      <c r="G487" s="123"/>
      <c r="H487" s="123"/>
      <c r="I487" s="198"/>
      <c r="J487" s="198" t="s">
        <v>320</v>
      </c>
      <c r="K487" s="210"/>
      <c r="L487" s="210"/>
      <c r="M487" s="213">
        <f t="shared" ref="M487:N488" si="107">M488</f>
        <v>50000</v>
      </c>
      <c r="N487" s="213">
        <f t="shared" si="107"/>
        <v>0</v>
      </c>
      <c r="O487" s="213">
        <f t="shared" si="105"/>
        <v>50000</v>
      </c>
      <c r="P487" s="124"/>
      <c r="Q487" s="124"/>
      <c r="R487" s="124"/>
    </row>
    <row r="488" spans="1:18" s="2" customFormat="1" ht="15.75">
      <c r="A488" s="36"/>
      <c r="B488" s="36"/>
      <c r="C488" s="36"/>
      <c r="D488" s="36"/>
      <c r="E488" s="36"/>
      <c r="F488" s="36"/>
      <c r="G488" s="36"/>
      <c r="H488" s="36"/>
      <c r="I488" s="35">
        <v>4</v>
      </c>
      <c r="J488" s="35" t="s">
        <v>11</v>
      </c>
      <c r="K488" s="145"/>
      <c r="L488" s="145"/>
      <c r="M488" s="192">
        <f t="shared" si="107"/>
        <v>50000</v>
      </c>
      <c r="N488" s="192">
        <f t="shared" si="107"/>
        <v>0</v>
      </c>
      <c r="O488" s="192">
        <f t="shared" si="105"/>
        <v>50000</v>
      </c>
      <c r="P488" s="42"/>
      <c r="Q488" s="42"/>
      <c r="R488" s="42"/>
    </row>
    <row r="489" spans="1:18" s="2" customFormat="1" ht="15.75">
      <c r="A489" s="36"/>
      <c r="B489" s="36"/>
      <c r="C489" s="36"/>
      <c r="D489" s="36"/>
      <c r="E489" s="36"/>
      <c r="F489" s="36"/>
      <c r="G489" s="36"/>
      <c r="H489" s="36"/>
      <c r="I489" s="35">
        <v>42</v>
      </c>
      <c r="J489" s="35" t="s">
        <v>20</v>
      </c>
      <c r="K489" s="145"/>
      <c r="L489" s="145"/>
      <c r="M489" s="192">
        <v>50000</v>
      </c>
      <c r="N489" s="192">
        <v>0</v>
      </c>
      <c r="O489" s="192">
        <f t="shared" si="105"/>
        <v>50000</v>
      </c>
      <c r="P489" s="42"/>
      <c r="Q489" s="42"/>
      <c r="R489" s="42"/>
    </row>
    <row r="490" spans="1:18" s="2" customFormat="1" ht="15.75">
      <c r="A490" s="18"/>
      <c r="B490" s="18"/>
      <c r="C490" s="18"/>
      <c r="D490" s="18"/>
      <c r="E490" s="18"/>
      <c r="F490" s="18"/>
      <c r="G490" s="18"/>
      <c r="H490" s="18"/>
      <c r="I490" s="25" t="s">
        <v>250</v>
      </c>
      <c r="J490" s="25" t="s">
        <v>251</v>
      </c>
      <c r="K490" s="16" t="e">
        <f>#REF!</f>
        <v>#REF!</v>
      </c>
      <c r="L490" s="16"/>
      <c r="M490" s="163">
        <f>M491</f>
        <v>76077.5</v>
      </c>
      <c r="N490" s="163">
        <f>N491</f>
        <v>-547.5</v>
      </c>
      <c r="O490" s="163">
        <f t="shared" si="105"/>
        <v>75530</v>
      </c>
      <c r="P490" s="26"/>
      <c r="Q490" s="83"/>
      <c r="R490" s="83"/>
    </row>
    <row r="491" spans="1:18" s="2" customFormat="1" ht="15.75">
      <c r="A491" s="45"/>
      <c r="B491" s="45"/>
      <c r="C491" s="45"/>
      <c r="D491" s="45"/>
      <c r="E491" s="45"/>
      <c r="F491" s="45"/>
      <c r="G491" s="45"/>
      <c r="H491" s="45"/>
      <c r="I491" s="114" t="s">
        <v>98</v>
      </c>
      <c r="J491" s="115"/>
      <c r="K491" s="116"/>
      <c r="L491" s="116"/>
      <c r="M491" s="164">
        <f>M492+M495</f>
        <v>76077.5</v>
      </c>
      <c r="N491" s="164">
        <f>N492+N495</f>
        <v>-547.5</v>
      </c>
      <c r="O491" s="164">
        <f t="shared" si="105"/>
        <v>75530</v>
      </c>
      <c r="P491" s="30"/>
      <c r="Q491" s="83"/>
      <c r="R491" s="83"/>
    </row>
    <row r="492" spans="1:18" s="2" customFormat="1" ht="15.75">
      <c r="A492" s="36"/>
      <c r="B492" s="36"/>
      <c r="C492" s="36"/>
      <c r="D492" s="36"/>
      <c r="E492" s="36"/>
      <c r="F492" s="36"/>
      <c r="G492" s="36"/>
      <c r="H492" s="36"/>
      <c r="I492" s="84"/>
      <c r="J492" s="86" t="s">
        <v>313</v>
      </c>
      <c r="K492" s="85"/>
      <c r="L492" s="85"/>
      <c r="M492" s="191">
        <f t="shared" ref="M492:N496" si="108">M493</f>
        <v>0</v>
      </c>
      <c r="N492" s="191">
        <f t="shared" si="108"/>
        <v>0</v>
      </c>
      <c r="O492" s="191">
        <f t="shared" si="105"/>
        <v>0</v>
      </c>
      <c r="P492" s="42"/>
      <c r="Q492" s="42"/>
      <c r="R492" s="42"/>
    </row>
    <row r="493" spans="1:18" s="2" customFormat="1" ht="15.75">
      <c r="A493" s="36"/>
      <c r="B493" s="36"/>
      <c r="C493" s="36"/>
      <c r="D493" s="36"/>
      <c r="E493" s="36"/>
      <c r="F493" s="36"/>
      <c r="G493" s="36"/>
      <c r="H493" s="36"/>
      <c r="I493" s="35">
        <v>4</v>
      </c>
      <c r="J493" s="36" t="s">
        <v>11</v>
      </c>
      <c r="K493" s="37" t="e">
        <f>K494</f>
        <v>#REF!</v>
      </c>
      <c r="L493" s="37"/>
      <c r="M493" s="167">
        <f t="shared" si="108"/>
        <v>0</v>
      </c>
      <c r="N493" s="167">
        <f t="shared" si="108"/>
        <v>0</v>
      </c>
      <c r="O493" s="167">
        <f t="shared" si="105"/>
        <v>0</v>
      </c>
      <c r="P493" s="38"/>
      <c r="Q493" s="38"/>
      <c r="R493" s="38"/>
    </row>
    <row r="494" spans="1:18" s="2" customFormat="1" ht="17.25" customHeight="1">
      <c r="A494" s="36"/>
      <c r="B494" s="36"/>
      <c r="C494" s="36"/>
      <c r="D494" s="36"/>
      <c r="E494" s="36"/>
      <c r="F494" s="36"/>
      <c r="G494" s="36"/>
      <c r="H494" s="36"/>
      <c r="I494" s="35">
        <v>42</v>
      </c>
      <c r="J494" s="36" t="s">
        <v>20</v>
      </c>
      <c r="K494" s="37" t="e">
        <f>#REF!</f>
        <v>#REF!</v>
      </c>
      <c r="L494" s="37"/>
      <c r="M494" s="167">
        <v>0</v>
      </c>
      <c r="N494" s="167">
        <v>0</v>
      </c>
      <c r="O494" s="167">
        <f t="shared" si="105"/>
        <v>0</v>
      </c>
      <c r="P494" s="38"/>
      <c r="Q494" s="38"/>
      <c r="R494" s="38"/>
    </row>
    <row r="495" spans="1:18" s="2" customFormat="1" ht="17.25" customHeight="1">
      <c r="A495" s="36"/>
      <c r="B495" s="36"/>
      <c r="C495" s="36"/>
      <c r="D495" s="36"/>
      <c r="E495" s="36"/>
      <c r="F495" s="36"/>
      <c r="G495" s="36"/>
      <c r="H495" s="36"/>
      <c r="I495" s="84"/>
      <c r="J495" s="86" t="s">
        <v>304</v>
      </c>
      <c r="K495" s="85"/>
      <c r="L495" s="85"/>
      <c r="M495" s="191">
        <f t="shared" si="108"/>
        <v>76077.5</v>
      </c>
      <c r="N495" s="191">
        <f t="shared" si="108"/>
        <v>-547.5</v>
      </c>
      <c r="O495" s="191">
        <f t="shared" si="105"/>
        <v>75530</v>
      </c>
      <c r="P495" s="38"/>
      <c r="Q495" s="38"/>
      <c r="R495" s="38"/>
    </row>
    <row r="496" spans="1:18" s="2" customFormat="1" ht="17.25" customHeight="1">
      <c r="A496" s="36"/>
      <c r="B496" s="36"/>
      <c r="C496" s="36"/>
      <c r="D496" s="36"/>
      <c r="E496" s="36"/>
      <c r="F496" s="36"/>
      <c r="G496" s="36"/>
      <c r="H496" s="36"/>
      <c r="I496" s="35">
        <v>4</v>
      </c>
      <c r="J496" s="36" t="s">
        <v>11</v>
      </c>
      <c r="K496" s="37" t="e">
        <f>K497</f>
        <v>#REF!</v>
      </c>
      <c r="L496" s="37"/>
      <c r="M496" s="167">
        <f t="shared" si="108"/>
        <v>76077.5</v>
      </c>
      <c r="N496" s="167">
        <f t="shared" si="108"/>
        <v>-547.5</v>
      </c>
      <c r="O496" s="167">
        <f t="shared" si="105"/>
        <v>75530</v>
      </c>
      <c r="P496" s="38"/>
      <c r="Q496" s="38"/>
      <c r="R496" s="38"/>
    </row>
    <row r="497" spans="1:20" s="2" customFormat="1" ht="17.25" customHeight="1">
      <c r="A497" s="36"/>
      <c r="B497" s="36"/>
      <c r="C497" s="36"/>
      <c r="D497" s="36"/>
      <c r="E497" s="36"/>
      <c r="F497" s="36"/>
      <c r="G497" s="36"/>
      <c r="H497" s="36"/>
      <c r="I497" s="35">
        <v>42</v>
      </c>
      <c r="J497" s="36" t="s">
        <v>20</v>
      </c>
      <c r="K497" s="37" t="e">
        <f>#REF!</f>
        <v>#REF!</v>
      </c>
      <c r="L497" s="37"/>
      <c r="M497" s="167">
        <v>76077.5</v>
      </c>
      <c r="N497" s="167">
        <v>-547.5</v>
      </c>
      <c r="O497" s="167">
        <f t="shared" si="105"/>
        <v>75530</v>
      </c>
      <c r="P497" s="38"/>
      <c r="Q497" s="38"/>
      <c r="R497" s="38"/>
    </row>
    <row r="498" spans="1:20" s="2" customFormat="1" ht="15.75">
      <c r="A498" s="18"/>
      <c r="B498" s="18"/>
      <c r="C498" s="18"/>
      <c r="D498" s="18"/>
      <c r="E498" s="18"/>
      <c r="F498" s="18"/>
      <c r="G498" s="18"/>
      <c r="H498" s="18"/>
      <c r="I498" s="110" t="s">
        <v>180</v>
      </c>
      <c r="J498" s="110" t="s">
        <v>181</v>
      </c>
      <c r="K498" s="111" t="e">
        <f>K501</f>
        <v>#REF!</v>
      </c>
      <c r="L498" s="111"/>
      <c r="M498" s="112">
        <f>M499</f>
        <v>20000</v>
      </c>
      <c r="N498" s="112">
        <f>N499</f>
        <v>-20000</v>
      </c>
      <c r="O498" s="112">
        <f t="shared" si="105"/>
        <v>0</v>
      </c>
      <c r="P498" s="26"/>
      <c r="Q498" s="83"/>
      <c r="R498" s="83"/>
    </row>
    <row r="499" spans="1:20" s="2" customFormat="1" ht="15.75">
      <c r="A499" s="45"/>
      <c r="B499" s="45"/>
      <c r="C499" s="45"/>
      <c r="D499" s="45"/>
      <c r="E499" s="45"/>
      <c r="F499" s="45"/>
      <c r="G499" s="45"/>
      <c r="H499" s="45"/>
      <c r="I499" s="114" t="s">
        <v>54</v>
      </c>
      <c r="J499" s="115"/>
      <c r="K499" s="116"/>
      <c r="L499" s="116"/>
      <c r="M499" s="164">
        <f>M500+M503</f>
        <v>20000</v>
      </c>
      <c r="N499" s="164">
        <f>N500+N503</f>
        <v>-20000</v>
      </c>
      <c r="O499" s="164">
        <f t="shared" si="105"/>
        <v>0</v>
      </c>
      <c r="P499" s="30"/>
      <c r="Q499" s="83"/>
      <c r="R499" s="83"/>
    </row>
    <row r="500" spans="1:20" s="59" customFormat="1" ht="15.75">
      <c r="A500" s="54"/>
      <c r="B500" s="54"/>
      <c r="C500" s="54"/>
      <c r="D500" s="54"/>
      <c r="E500" s="54"/>
      <c r="F500" s="54"/>
      <c r="G500" s="54"/>
      <c r="H500" s="54"/>
      <c r="I500" s="104"/>
      <c r="J500" s="105" t="s">
        <v>304</v>
      </c>
      <c r="K500" s="106"/>
      <c r="L500" s="106"/>
      <c r="M500" s="181">
        <f>M501</f>
        <v>9963.35</v>
      </c>
      <c r="N500" s="181">
        <f>N501</f>
        <v>-9963.35</v>
      </c>
      <c r="O500" s="181">
        <f>M500+N500</f>
        <v>0</v>
      </c>
      <c r="P500" s="58"/>
      <c r="Q500" s="83"/>
      <c r="R500" s="83"/>
      <c r="S500" s="2"/>
      <c r="T500" s="2"/>
    </row>
    <row r="501" spans="1:20" s="2" customFormat="1" ht="15.75">
      <c r="A501" s="36"/>
      <c r="B501" s="36"/>
      <c r="C501" s="36"/>
      <c r="D501" s="36"/>
      <c r="E501" s="36"/>
      <c r="F501" s="36"/>
      <c r="G501" s="36"/>
      <c r="H501" s="36"/>
      <c r="I501" s="35">
        <v>4</v>
      </c>
      <c r="J501" s="36" t="s">
        <v>11</v>
      </c>
      <c r="K501" s="37" t="e">
        <f>K502</f>
        <v>#REF!</v>
      </c>
      <c r="L501" s="37"/>
      <c r="M501" s="167">
        <f>M502</f>
        <v>9963.35</v>
      </c>
      <c r="N501" s="167">
        <f>N502</f>
        <v>-9963.35</v>
      </c>
      <c r="O501" s="167">
        <f>M501+N501</f>
        <v>0</v>
      </c>
      <c r="P501" s="38"/>
      <c r="Q501" s="38"/>
      <c r="R501" s="38"/>
    </row>
    <row r="502" spans="1:20" s="2" customFormat="1" ht="18.75" customHeight="1">
      <c r="A502" s="36"/>
      <c r="B502" s="36"/>
      <c r="C502" s="36"/>
      <c r="D502" s="36"/>
      <c r="E502" s="36"/>
      <c r="F502" s="36"/>
      <c r="G502" s="36"/>
      <c r="H502" s="36"/>
      <c r="I502" s="35">
        <v>42</v>
      </c>
      <c r="J502" s="36" t="s">
        <v>20</v>
      </c>
      <c r="K502" s="37" t="e">
        <f>#REF!</f>
        <v>#REF!</v>
      </c>
      <c r="L502" s="37"/>
      <c r="M502" s="167">
        <v>9963.35</v>
      </c>
      <c r="N502" s="167">
        <v>-9963.35</v>
      </c>
      <c r="O502" s="167">
        <f>M502+N502</f>
        <v>0</v>
      </c>
      <c r="P502" s="38"/>
      <c r="Q502" s="38"/>
      <c r="R502" s="38"/>
    </row>
    <row r="503" spans="1:20" s="2" customFormat="1" ht="15.75">
      <c r="A503" s="36"/>
      <c r="B503" s="36"/>
      <c r="C503" s="36"/>
      <c r="D503" s="36"/>
      <c r="E503" s="36"/>
      <c r="F503" s="36"/>
      <c r="G503" s="36"/>
      <c r="H503" s="36"/>
      <c r="I503" s="84"/>
      <c r="J503" s="86" t="s">
        <v>312</v>
      </c>
      <c r="K503" s="85"/>
      <c r="L503" s="85"/>
      <c r="M503" s="191">
        <f t="shared" ref="M503:N504" si="109">M504</f>
        <v>10036.65</v>
      </c>
      <c r="N503" s="191">
        <f t="shared" si="109"/>
        <v>-10036.65</v>
      </c>
      <c r="O503" s="191">
        <f t="shared" si="105"/>
        <v>0</v>
      </c>
      <c r="P503" s="42"/>
      <c r="Q503" s="42"/>
      <c r="R503" s="42"/>
    </row>
    <row r="504" spans="1:20" s="2" customFormat="1" ht="15.75">
      <c r="A504" s="36"/>
      <c r="B504" s="36"/>
      <c r="C504" s="36"/>
      <c r="D504" s="36"/>
      <c r="E504" s="36"/>
      <c r="F504" s="36"/>
      <c r="G504" s="36"/>
      <c r="H504" s="36"/>
      <c r="I504" s="35">
        <v>4</v>
      </c>
      <c r="J504" s="36" t="s">
        <v>11</v>
      </c>
      <c r="K504" s="37" t="e">
        <f>K505</f>
        <v>#REF!</v>
      </c>
      <c r="L504" s="37"/>
      <c r="M504" s="167">
        <f t="shared" si="109"/>
        <v>10036.65</v>
      </c>
      <c r="N504" s="167">
        <f t="shared" si="109"/>
        <v>-10036.65</v>
      </c>
      <c r="O504" s="167">
        <f t="shared" si="105"/>
        <v>0</v>
      </c>
      <c r="P504" s="38"/>
      <c r="Q504" s="38"/>
      <c r="R504" s="38"/>
    </row>
    <row r="505" spans="1:20" s="2" customFormat="1" ht="17.25" customHeight="1">
      <c r="A505" s="36"/>
      <c r="B505" s="36"/>
      <c r="C505" s="36"/>
      <c r="D505" s="36"/>
      <c r="E505" s="36"/>
      <c r="F505" s="36"/>
      <c r="G505" s="36"/>
      <c r="H505" s="36"/>
      <c r="I505" s="35">
        <v>42</v>
      </c>
      <c r="J505" s="36" t="s">
        <v>20</v>
      </c>
      <c r="K505" s="37" t="e">
        <f>#REF!</f>
        <v>#REF!</v>
      </c>
      <c r="L505" s="37"/>
      <c r="M505" s="167">
        <v>10036.65</v>
      </c>
      <c r="N505" s="167">
        <v>-10036.65</v>
      </c>
      <c r="O505" s="167">
        <f t="shared" si="105"/>
        <v>0</v>
      </c>
      <c r="P505" s="38"/>
      <c r="Q505" s="38"/>
      <c r="R505" s="38"/>
    </row>
    <row r="506" spans="1:20" s="2" customFormat="1" ht="15.75">
      <c r="A506" s="18"/>
      <c r="B506" s="18"/>
      <c r="C506" s="18"/>
      <c r="D506" s="18"/>
      <c r="E506" s="18"/>
      <c r="F506" s="18"/>
      <c r="G506" s="18"/>
      <c r="H506" s="18"/>
      <c r="I506" s="110" t="s">
        <v>299</v>
      </c>
      <c r="J506" s="110" t="s">
        <v>300</v>
      </c>
      <c r="K506" s="111" t="e">
        <f>K509</f>
        <v>#REF!</v>
      </c>
      <c r="L506" s="111"/>
      <c r="M506" s="112">
        <f>M507</f>
        <v>557978.29</v>
      </c>
      <c r="N506" s="112">
        <f>N507</f>
        <v>-471189.24</v>
      </c>
      <c r="O506" s="112">
        <f>M506+N506</f>
        <v>86789.050000000047</v>
      </c>
      <c r="P506" s="26"/>
      <c r="Q506" s="83"/>
      <c r="R506" s="83"/>
    </row>
    <row r="507" spans="1:20" s="2" customFormat="1" ht="15.75">
      <c r="A507" s="45"/>
      <c r="B507" s="45"/>
      <c r="C507" s="45"/>
      <c r="D507" s="45"/>
      <c r="E507" s="45"/>
      <c r="F507" s="45"/>
      <c r="G507" s="45"/>
      <c r="H507" s="45"/>
      <c r="I507" s="114" t="s">
        <v>54</v>
      </c>
      <c r="J507" s="115"/>
      <c r="K507" s="116"/>
      <c r="L507" s="116"/>
      <c r="M507" s="164">
        <f>M508+M511</f>
        <v>557978.29</v>
      </c>
      <c r="N507" s="164">
        <f>N508+N511</f>
        <v>-471189.24</v>
      </c>
      <c r="O507" s="164">
        <f>M507+N507</f>
        <v>86789.050000000047</v>
      </c>
      <c r="P507" s="30"/>
      <c r="Q507" s="83"/>
      <c r="R507" s="83"/>
    </row>
    <row r="508" spans="1:20" s="59" customFormat="1" ht="15.75">
      <c r="A508" s="54"/>
      <c r="B508" s="54"/>
      <c r="C508" s="54"/>
      <c r="D508" s="54"/>
      <c r="E508" s="54"/>
      <c r="F508" s="54"/>
      <c r="G508" s="54"/>
      <c r="H508" s="54"/>
      <c r="I508" s="104"/>
      <c r="J508" s="105" t="s">
        <v>313</v>
      </c>
      <c r="K508" s="106"/>
      <c r="L508" s="106"/>
      <c r="M508" s="181">
        <f t="shared" ref="M508:N509" si="110">M509</f>
        <v>30000</v>
      </c>
      <c r="N508" s="181">
        <f t="shared" si="110"/>
        <v>0</v>
      </c>
      <c r="O508" s="181">
        <f t="shared" ref="O508:O559" si="111">M508+N508</f>
        <v>30000</v>
      </c>
      <c r="P508" s="58"/>
      <c r="Q508" s="83"/>
      <c r="R508" s="83"/>
      <c r="S508" s="2"/>
      <c r="T508" s="2"/>
    </row>
    <row r="509" spans="1:20" s="2" customFormat="1" ht="15.75">
      <c r="A509" s="36"/>
      <c r="B509" s="36"/>
      <c r="C509" s="36"/>
      <c r="D509" s="36"/>
      <c r="E509" s="36"/>
      <c r="F509" s="36"/>
      <c r="G509" s="36"/>
      <c r="H509" s="36"/>
      <c r="I509" s="35">
        <v>4</v>
      </c>
      <c r="J509" s="36" t="s">
        <v>11</v>
      </c>
      <c r="K509" s="37" t="e">
        <f>K510</f>
        <v>#REF!</v>
      </c>
      <c r="L509" s="37"/>
      <c r="M509" s="167">
        <f t="shared" si="110"/>
        <v>30000</v>
      </c>
      <c r="N509" s="167">
        <f t="shared" si="110"/>
        <v>0</v>
      </c>
      <c r="O509" s="167">
        <f t="shared" si="111"/>
        <v>30000</v>
      </c>
      <c r="P509" s="38"/>
      <c r="Q509" s="38"/>
      <c r="R509" s="38"/>
    </row>
    <row r="510" spans="1:20" s="2" customFormat="1" ht="18.75" customHeight="1">
      <c r="A510" s="36"/>
      <c r="B510" s="36"/>
      <c r="C510" s="36"/>
      <c r="D510" s="36"/>
      <c r="E510" s="36"/>
      <c r="F510" s="36"/>
      <c r="G510" s="36"/>
      <c r="H510" s="36"/>
      <c r="I510" s="35">
        <v>42</v>
      </c>
      <c r="J510" s="36" t="s">
        <v>20</v>
      </c>
      <c r="K510" s="37" t="e">
        <f>#REF!</f>
        <v>#REF!</v>
      </c>
      <c r="L510" s="37"/>
      <c r="M510" s="167">
        <v>30000</v>
      </c>
      <c r="N510" s="167">
        <v>0</v>
      </c>
      <c r="O510" s="167">
        <f t="shared" si="111"/>
        <v>30000</v>
      </c>
      <c r="P510" s="38"/>
      <c r="Q510" s="38"/>
      <c r="R510" s="38"/>
    </row>
    <row r="511" spans="1:20" s="2" customFormat="1" ht="15.75">
      <c r="A511" s="36"/>
      <c r="B511" s="36"/>
      <c r="C511" s="36"/>
      <c r="D511" s="36"/>
      <c r="E511" s="36"/>
      <c r="F511" s="36"/>
      <c r="G511" s="36"/>
      <c r="H511" s="36"/>
      <c r="I511" s="84"/>
      <c r="J511" s="86" t="s">
        <v>304</v>
      </c>
      <c r="K511" s="85"/>
      <c r="L511" s="85"/>
      <c r="M511" s="191">
        <f t="shared" ref="M511:N512" si="112">M512</f>
        <v>527978.29</v>
      </c>
      <c r="N511" s="191">
        <f>N512</f>
        <v>-471189.24</v>
      </c>
      <c r="O511" s="191">
        <f t="shared" si="111"/>
        <v>56789.050000000047</v>
      </c>
      <c r="P511" s="42"/>
      <c r="Q511" s="42"/>
      <c r="R511" s="42"/>
    </row>
    <row r="512" spans="1:20" s="2" customFormat="1" ht="15.75">
      <c r="A512" s="36"/>
      <c r="B512" s="36"/>
      <c r="C512" s="36"/>
      <c r="D512" s="36"/>
      <c r="E512" s="36"/>
      <c r="F512" s="36"/>
      <c r="G512" s="36"/>
      <c r="H512" s="36"/>
      <c r="I512" s="35">
        <v>4</v>
      </c>
      <c r="J512" s="36" t="s">
        <v>11</v>
      </c>
      <c r="K512" s="37" t="e">
        <f>K513</f>
        <v>#REF!</v>
      </c>
      <c r="L512" s="37"/>
      <c r="M512" s="167">
        <f t="shared" si="112"/>
        <v>527978.29</v>
      </c>
      <c r="N512" s="167">
        <f t="shared" si="112"/>
        <v>-471189.24</v>
      </c>
      <c r="O512" s="167">
        <f t="shared" si="111"/>
        <v>56789.050000000047</v>
      </c>
      <c r="P512" s="38"/>
      <c r="Q512" s="38"/>
      <c r="R512" s="38"/>
    </row>
    <row r="513" spans="1:20" s="2" customFormat="1" ht="17.25" customHeight="1">
      <c r="A513" s="36"/>
      <c r="B513" s="36"/>
      <c r="C513" s="36"/>
      <c r="D513" s="36"/>
      <c r="E513" s="36"/>
      <c r="F513" s="36"/>
      <c r="G513" s="36"/>
      <c r="H513" s="36"/>
      <c r="I513" s="35">
        <v>42</v>
      </c>
      <c r="J513" s="36" t="s">
        <v>20</v>
      </c>
      <c r="K513" s="37" t="e">
        <f>#REF!</f>
        <v>#REF!</v>
      </c>
      <c r="L513" s="37"/>
      <c r="M513" s="167">
        <v>527978.29</v>
      </c>
      <c r="N513" s="167">
        <v>-471189.24</v>
      </c>
      <c r="O513" s="167">
        <f t="shared" si="111"/>
        <v>56789.050000000047</v>
      </c>
      <c r="P513" s="38"/>
      <c r="Q513" s="38"/>
      <c r="R513" s="38"/>
    </row>
    <row r="514" spans="1:20" s="2" customFormat="1" ht="15.75">
      <c r="A514" s="18"/>
      <c r="B514" s="18"/>
      <c r="C514" s="18"/>
      <c r="D514" s="18"/>
      <c r="E514" s="18"/>
      <c r="F514" s="18"/>
      <c r="G514" s="18"/>
      <c r="H514" s="18"/>
      <c r="I514" s="110" t="s">
        <v>252</v>
      </c>
      <c r="J514" s="110" t="s">
        <v>253</v>
      </c>
      <c r="K514" s="111" t="e">
        <f>K517</f>
        <v>#REF!</v>
      </c>
      <c r="L514" s="111"/>
      <c r="M514" s="112">
        <f>M515</f>
        <v>387323.26</v>
      </c>
      <c r="N514" s="112">
        <f>N515</f>
        <v>-34278.700000000012</v>
      </c>
      <c r="O514" s="112">
        <f>M514+N514</f>
        <v>353044.56</v>
      </c>
      <c r="P514" s="26"/>
      <c r="Q514" s="83"/>
      <c r="R514" s="83"/>
    </row>
    <row r="515" spans="1:20" s="2" customFormat="1" ht="15.75">
      <c r="A515" s="45"/>
      <c r="B515" s="45"/>
      <c r="C515" s="45"/>
      <c r="D515" s="45"/>
      <c r="E515" s="45"/>
      <c r="F515" s="45"/>
      <c r="G515" s="45"/>
      <c r="H515" s="45"/>
      <c r="I515" s="114" t="s">
        <v>54</v>
      </c>
      <c r="J515" s="115"/>
      <c r="K515" s="116"/>
      <c r="L515" s="116"/>
      <c r="M515" s="164">
        <f>M516+M519+M522</f>
        <v>387323.26</v>
      </c>
      <c r="N515" s="164">
        <f>N516+N519+N522+N525</f>
        <v>-34278.700000000012</v>
      </c>
      <c r="O515" s="164">
        <f>M515+N515</f>
        <v>353044.56</v>
      </c>
      <c r="P515" s="30"/>
      <c r="Q515" s="83"/>
      <c r="R515" s="83"/>
    </row>
    <row r="516" spans="1:20" s="59" customFormat="1" ht="15.75">
      <c r="A516" s="54"/>
      <c r="B516" s="54"/>
      <c r="C516" s="54"/>
      <c r="D516" s="54"/>
      <c r="E516" s="54"/>
      <c r="F516" s="54"/>
      <c r="G516" s="54"/>
      <c r="H516" s="54"/>
      <c r="I516" s="104"/>
      <c r="J516" s="105" t="s">
        <v>304</v>
      </c>
      <c r="K516" s="106"/>
      <c r="L516" s="106"/>
      <c r="M516" s="181">
        <f t="shared" ref="M516:N517" si="113">M517</f>
        <v>205972.6</v>
      </c>
      <c r="N516" s="181">
        <f t="shared" si="113"/>
        <v>-205972.6</v>
      </c>
      <c r="O516" s="181">
        <f t="shared" si="111"/>
        <v>0</v>
      </c>
      <c r="P516" s="58"/>
      <c r="Q516" s="83"/>
      <c r="R516" s="83"/>
      <c r="S516" s="2"/>
      <c r="T516" s="2"/>
    </row>
    <row r="517" spans="1:20" s="2" customFormat="1" ht="15.75">
      <c r="A517" s="36"/>
      <c r="B517" s="36"/>
      <c r="C517" s="36"/>
      <c r="D517" s="36"/>
      <c r="E517" s="36"/>
      <c r="F517" s="36"/>
      <c r="G517" s="36"/>
      <c r="H517" s="36"/>
      <c r="I517" s="35">
        <v>4</v>
      </c>
      <c r="J517" s="36" t="s">
        <v>11</v>
      </c>
      <c r="K517" s="37" t="e">
        <f>K518</f>
        <v>#REF!</v>
      </c>
      <c r="L517" s="37"/>
      <c r="M517" s="167">
        <f t="shared" si="113"/>
        <v>205972.6</v>
      </c>
      <c r="N517" s="167">
        <f t="shared" si="113"/>
        <v>-205972.6</v>
      </c>
      <c r="O517" s="167">
        <f t="shared" si="111"/>
        <v>0</v>
      </c>
      <c r="P517" s="38"/>
      <c r="Q517" s="38"/>
      <c r="R517" s="38"/>
    </row>
    <row r="518" spans="1:20" s="2" customFormat="1" ht="18.75" customHeight="1">
      <c r="A518" s="36"/>
      <c r="B518" s="36"/>
      <c r="C518" s="36"/>
      <c r="D518" s="36"/>
      <c r="E518" s="36"/>
      <c r="F518" s="36"/>
      <c r="G518" s="36"/>
      <c r="H518" s="36"/>
      <c r="I518" s="35">
        <v>42</v>
      </c>
      <c r="J518" s="36" t="s">
        <v>20</v>
      </c>
      <c r="K518" s="37" t="e">
        <f>#REF!</f>
        <v>#REF!</v>
      </c>
      <c r="L518" s="37"/>
      <c r="M518" s="167">
        <v>205972.6</v>
      </c>
      <c r="N518" s="167">
        <v>-205972.6</v>
      </c>
      <c r="O518" s="167">
        <f t="shared" si="111"/>
        <v>0</v>
      </c>
      <c r="P518" s="38"/>
      <c r="Q518" s="38"/>
      <c r="R518" s="38"/>
    </row>
    <row r="519" spans="1:20" s="2" customFormat="1" ht="18.75" customHeight="1">
      <c r="A519" s="36"/>
      <c r="B519" s="36"/>
      <c r="C519" s="36"/>
      <c r="D519" s="36"/>
      <c r="E519" s="36"/>
      <c r="F519" s="36"/>
      <c r="G519" s="36"/>
      <c r="H519" s="36"/>
      <c r="I519" s="55"/>
      <c r="J519" s="56" t="s">
        <v>317</v>
      </c>
      <c r="K519" s="57"/>
      <c r="L519" s="57"/>
      <c r="M519" s="166">
        <f t="shared" ref="M519:M520" si="114">M520</f>
        <v>134950.66</v>
      </c>
      <c r="N519" s="166">
        <f>N520</f>
        <v>0</v>
      </c>
      <c r="O519" s="166">
        <f t="shared" si="111"/>
        <v>134950.66</v>
      </c>
      <c r="P519" s="38"/>
      <c r="Q519" s="38"/>
      <c r="R519" s="38"/>
    </row>
    <row r="520" spans="1:20" s="2" customFormat="1" ht="18.75" customHeight="1">
      <c r="A520" s="36"/>
      <c r="B520" s="36"/>
      <c r="C520" s="36"/>
      <c r="D520" s="36"/>
      <c r="E520" s="36"/>
      <c r="F520" s="36"/>
      <c r="G520" s="36"/>
      <c r="H520" s="36"/>
      <c r="I520" s="35">
        <v>4</v>
      </c>
      <c r="J520" s="36" t="s">
        <v>11</v>
      </c>
      <c r="K520" s="37" t="e">
        <f>K521</f>
        <v>#REF!</v>
      </c>
      <c r="L520" s="37"/>
      <c r="M520" s="167">
        <f t="shared" si="114"/>
        <v>134950.66</v>
      </c>
      <c r="N520" s="167">
        <f>N521</f>
        <v>0</v>
      </c>
      <c r="O520" s="167">
        <f t="shared" si="111"/>
        <v>134950.66</v>
      </c>
      <c r="P520" s="38"/>
      <c r="Q520" s="38"/>
      <c r="R520" s="38"/>
    </row>
    <row r="521" spans="1:20" s="2" customFormat="1" ht="18.75" customHeight="1">
      <c r="A521" s="36"/>
      <c r="B521" s="36"/>
      <c r="C521" s="36"/>
      <c r="D521" s="36"/>
      <c r="E521" s="36"/>
      <c r="F521" s="36"/>
      <c r="G521" s="36"/>
      <c r="H521" s="36"/>
      <c r="I521" s="35">
        <v>42</v>
      </c>
      <c r="J521" s="36" t="s">
        <v>20</v>
      </c>
      <c r="K521" s="37" t="e">
        <f>#REF!</f>
        <v>#REF!</v>
      </c>
      <c r="L521" s="37"/>
      <c r="M521" s="167">
        <v>134950.66</v>
      </c>
      <c r="N521" s="167">
        <v>0</v>
      </c>
      <c r="O521" s="167">
        <f t="shared" si="111"/>
        <v>134950.66</v>
      </c>
      <c r="P521" s="38"/>
      <c r="Q521" s="38"/>
      <c r="R521" s="38"/>
    </row>
    <row r="522" spans="1:20" s="2" customFormat="1" ht="18.75" customHeight="1">
      <c r="A522" s="36"/>
      <c r="B522" s="36"/>
      <c r="C522" s="36"/>
      <c r="D522" s="36"/>
      <c r="E522" s="36"/>
      <c r="F522" s="36"/>
      <c r="G522" s="36"/>
      <c r="H522" s="36"/>
      <c r="I522" s="55"/>
      <c r="J522" s="56" t="s">
        <v>313</v>
      </c>
      <c r="K522" s="57"/>
      <c r="L522" s="57"/>
      <c r="M522" s="166">
        <f t="shared" ref="M522:M526" si="115">M523</f>
        <v>46400</v>
      </c>
      <c r="N522" s="166">
        <f>N523</f>
        <v>0</v>
      </c>
      <c r="O522" s="166">
        <f t="shared" ref="O522:O524" si="116">M522+N522</f>
        <v>46400</v>
      </c>
      <c r="P522" s="38"/>
      <c r="Q522" s="38"/>
      <c r="R522" s="38"/>
    </row>
    <row r="523" spans="1:20" s="2" customFormat="1" ht="18.75" customHeight="1">
      <c r="A523" s="36"/>
      <c r="B523" s="36"/>
      <c r="C523" s="36"/>
      <c r="D523" s="36"/>
      <c r="E523" s="36"/>
      <c r="F523" s="36"/>
      <c r="G523" s="36"/>
      <c r="H523" s="36"/>
      <c r="I523" s="35">
        <v>4</v>
      </c>
      <c r="J523" s="36" t="s">
        <v>11</v>
      </c>
      <c r="K523" s="37" t="e">
        <f>K524</f>
        <v>#REF!</v>
      </c>
      <c r="L523" s="37"/>
      <c r="M523" s="167">
        <f t="shared" si="115"/>
        <v>46400</v>
      </c>
      <c r="N523" s="167">
        <f>N524</f>
        <v>0</v>
      </c>
      <c r="O523" s="167">
        <f t="shared" si="116"/>
        <v>46400</v>
      </c>
      <c r="P523" s="38"/>
      <c r="Q523" s="38"/>
      <c r="R523" s="38"/>
    </row>
    <row r="524" spans="1:20" s="2" customFormat="1" ht="18.75" customHeight="1">
      <c r="A524" s="36"/>
      <c r="B524" s="36"/>
      <c r="C524" s="36"/>
      <c r="D524" s="36"/>
      <c r="E524" s="36"/>
      <c r="F524" s="36"/>
      <c r="G524" s="36"/>
      <c r="H524" s="36"/>
      <c r="I524" s="35">
        <v>42</v>
      </c>
      <c r="J524" s="36" t="s">
        <v>20</v>
      </c>
      <c r="K524" s="37" t="e">
        <f>#REF!</f>
        <v>#REF!</v>
      </c>
      <c r="L524" s="37"/>
      <c r="M524" s="167">
        <v>46400</v>
      </c>
      <c r="N524" s="167">
        <v>0</v>
      </c>
      <c r="O524" s="167">
        <f t="shared" si="116"/>
        <v>46400</v>
      </c>
      <c r="P524" s="38"/>
      <c r="Q524" s="38"/>
      <c r="R524" s="38"/>
    </row>
    <row r="525" spans="1:20" s="2" customFormat="1" ht="18.75" customHeight="1">
      <c r="A525" s="36"/>
      <c r="B525" s="36"/>
      <c r="C525" s="36"/>
      <c r="D525" s="36"/>
      <c r="E525" s="36"/>
      <c r="F525" s="36"/>
      <c r="G525" s="36"/>
      <c r="H525" s="36"/>
      <c r="I525" s="55"/>
      <c r="J525" s="56" t="s">
        <v>312</v>
      </c>
      <c r="K525" s="57"/>
      <c r="L525" s="57"/>
      <c r="M525" s="166">
        <f t="shared" si="115"/>
        <v>0</v>
      </c>
      <c r="N525" s="166">
        <f>N526</f>
        <v>171693.9</v>
      </c>
      <c r="O525" s="166">
        <f t="shared" ref="O525:O527" si="117">M525+N525</f>
        <v>171693.9</v>
      </c>
      <c r="P525" s="38"/>
      <c r="Q525" s="38"/>
      <c r="R525" s="38"/>
    </row>
    <row r="526" spans="1:20" s="2" customFormat="1" ht="18.75" customHeight="1">
      <c r="A526" s="36"/>
      <c r="B526" s="36"/>
      <c r="C526" s="36"/>
      <c r="D526" s="36"/>
      <c r="E526" s="36"/>
      <c r="F526" s="36"/>
      <c r="G526" s="36"/>
      <c r="H526" s="36"/>
      <c r="I526" s="35">
        <v>4</v>
      </c>
      <c r="J526" s="36" t="s">
        <v>11</v>
      </c>
      <c r="K526" s="37" t="e">
        <f>K527</f>
        <v>#REF!</v>
      </c>
      <c r="L526" s="37"/>
      <c r="M526" s="167">
        <f t="shared" si="115"/>
        <v>0</v>
      </c>
      <c r="N526" s="167">
        <f>N527</f>
        <v>171693.9</v>
      </c>
      <c r="O526" s="167">
        <f t="shared" si="117"/>
        <v>171693.9</v>
      </c>
      <c r="P526" s="38"/>
      <c r="Q526" s="38"/>
      <c r="R526" s="38"/>
    </row>
    <row r="527" spans="1:20" s="2" customFormat="1" ht="18.75" customHeight="1">
      <c r="A527" s="36"/>
      <c r="B527" s="36"/>
      <c r="C527" s="36"/>
      <c r="D527" s="36"/>
      <c r="E527" s="36"/>
      <c r="F527" s="36"/>
      <c r="G527" s="36"/>
      <c r="H527" s="36"/>
      <c r="I527" s="35">
        <v>42</v>
      </c>
      <c r="J527" s="36" t="s">
        <v>20</v>
      </c>
      <c r="K527" s="37" t="e">
        <f>#REF!</f>
        <v>#REF!</v>
      </c>
      <c r="L527" s="37"/>
      <c r="M527" s="167">
        <v>0</v>
      </c>
      <c r="N527" s="167">
        <v>171693.9</v>
      </c>
      <c r="O527" s="167">
        <f t="shared" si="117"/>
        <v>171693.9</v>
      </c>
      <c r="P527" s="38"/>
      <c r="Q527" s="38"/>
      <c r="R527" s="38"/>
    </row>
    <row r="528" spans="1:20" s="2" customFormat="1" ht="15.75">
      <c r="A528" s="18"/>
      <c r="B528" s="18"/>
      <c r="C528" s="18"/>
      <c r="D528" s="18"/>
      <c r="E528" s="18"/>
      <c r="F528" s="18"/>
      <c r="G528" s="18"/>
      <c r="H528" s="18"/>
      <c r="I528" s="25" t="s">
        <v>161</v>
      </c>
      <c r="J528" s="25" t="s">
        <v>164</v>
      </c>
      <c r="K528" s="16" t="e">
        <f>#REF!</f>
        <v>#REF!</v>
      </c>
      <c r="L528" s="16"/>
      <c r="M528" s="163">
        <f>M529</f>
        <v>34722.5</v>
      </c>
      <c r="N528" s="163">
        <f t="shared" ref="N528" si="118">N529</f>
        <v>-34722.5</v>
      </c>
      <c r="O528" s="163">
        <f t="shared" si="111"/>
        <v>0</v>
      </c>
      <c r="P528" s="26" t="e">
        <f>M528/K528*100</f>
        <v>#REF!</v>
      </c>
      <c r="Q528" s="83"/>
      <c r="R528" s="83"/>
    </row>
    <row r="529" spans="1:18" s="2" customFormat="1" ht="15.75">
      <c r="A529" s="45"/>
      <c r="B529" s="45"/>
      <c r="C529" s="45"/>
      <c r="D529" s="45"/>
      <c r="E529" s="45"/>
      <c r="F529" s="45"/>
      <c r="G529" s="45"/>
      <c r="H529" s="45"/>
      <c r="I529" s="114" t="s">
        <v>99</v>
      </c>
      <c r="J529" s="115"/>
      <c r="K529" s="116"/>
      <c r="L529" s="116"/>
      <c r="M529" s="164">
        <f>M530</f>
        <v>34722.5</v>
      </c>
      <c r="N529" s="164">
        <f t="shared" ref="N529" si="119">N530</f>
        <v>-34722.5</v>
      </c>
      <c r="O529" s="164">
        <f t="shared" si="111"/>
        <v>0</v>
      </c>
      <c r="P529" s="30"/>
      <c r="Q529" s="83"/>
      <c r="R529" s="83"/>
    </row>
    <row r="530" spans="1:18" s="2" customFormat="1" ht="15.75">
      <c r="A530" s="45"/>
      <c r="B530" s="45"/>
      <c r="C530" s="45"/>
      <c r="D530" s="45"/>
      <c r="E530" s="45"/>
      <c r="F530" s="45"/>
      <c r="G530" s="45"/>
      <c r="H530" s="45"/>
      <c r="I530" s="55"/>
      <c r="J530" s="56" t="s">
        <v>304</v>
      </c>
      <c r="K530" s="57"/>
      <c r="L530" s="57"/>
      <c r="M530" s="166">
        <f t="shared" ref="M530:N531" si="120">M531</f>
        <v>34722.5</v>
      </c>
      <c r="N530" s="166">
        <f t="shared" si="120"/>
        <v>-34722.5</v>
      </c>
      <c r="O530" s="166">
        <f t="shared" si="111"/>
        <v>0</v>
      </c>
      <c r="P530" s="30"/>
      <c r="Q530" s="83"/>
      <c r="R530" s="83"/>
    </row>
    <row r="531" spans="1:18" s="2" customFormat="1" ht="15.75">
      <c r="A531" s="36"/>
      <c r="B531" s="36"/>
      <c r="C531" s="36"/>
      <c r="D531" s="36"/>
      <c r="E531" s="36"/>
      <c r="F531" s="36"/>
      <c r="G531" s="36"/>
      <c r="H531" s="36"/>
      <c r="I531" s="35">
        <v>4</v>
      </c>
      <c r="J531" s="36" t="s">
        <v>11</v>
      </c>
      <c r="K531" s="37" t="e">
        <f>K532</f>
        <v>#REF!</v>
      </c>
      <c r="L531" s="37"/>
      <c r="M531" s="167">
        <f t="shared" si="120"/>
        <v>34722.5</v>
      </c>
      <c r="N531" s="167">
        <f t="shared" si="120"/>
        <v>-34722.5</v>
      </c>
      <c r="O531" s="167">
        <f t="shared" si="111"/>
        <v>0</v>
      </c>
      <c r="P531" s="38"/>
      <c r="Q531" s="38"/>
      <c r="R531" s="38"/>
    </row>
    <row r="532" spans="1:18" s="2" customFormat="1" ht="18.75" customHeight="1">
      <c r="A532" s="36"/>
      <c r="B532" s="36"/>
      <c r="C532" s="36"/>
      <c r="D532" s="36"/>
      <c r="E532" s="36"/>
      <c r="F532" s="36"/>
      <c r="G532" s="36"/>
      <c r="H532" s="36"/>
      <c r="I532" s="35">
        <v>42</v>
      </c>
      <c r="J532" s="36" t="s">
        <v>20</v>
      </c>
      <c r="K532" s="37" t="e">
        <f>#REF!</f>
        <v>#REF!</v>
      </c>
      <c r="L532" s="37"/>
      <c r="M532" s="167">
        <v>34722.5</v>
      </c>
      <c r="N532" s="167">
        <v>-34722.5</v>
      </c>
      <c r="O532" s="167">
        <f t="shared" si="111"/>
        <v>0</v>
      </c>
      <c r="P532" s="38"/>
      <c r="Q532" s="38"/>
      <c r="R532" s="38"/>
    </row>
    <row r="533" spans="1:18" s="2" customFormat="1" ht="15.75">
      <c r="A533" s="18"/>
      <c r="B533" s="18"/>
      <c r="C533" s="18"/>
      <c r="D533" s="18"/>
      <c r="E533" s="18"/>
      <c r="F533" s="18"/>
      <c r="G533" s="18"/>
      <c r="H533" s="18"/>
      <c r="I533" s="25" t="s">
        <v>172</v>
      </c>
      <c r="J533" s="25" t="s">
        <v>173</v>
      </c>
      <c r="K533" s="16" t="e">
        <f>#REF!</f>
        <v>#REF!</v>
      </c>
      <c r="L533" s="16"/>
      <c r="M533" s="163">
        <f>M534</f>
        <v>250000</v>
      </c>
      <c r="N533" s="163">
        <f>N534</f>
        <v>-250000</v>
      </c>
      <c r="O533" s="163">
        <f t="shared" si="111"/>
        <v>0</v>
      </c>
      <c r="P533" s="26" t="e">
        <f>M533/K533*100</f>
        <v>#REF!</v>
      </c>
      <c r="Q533" s="83"/>
      <c r="R533" s="83"/>
    </row>
    <row r="534" spans="1:18" s="2" customFormat="1" ht="15.75">
      <c r="A534" s="45"/>
      <c r="B534" s="45"/>
      <c r="C534" s="45"/>
      <c r="D534" s="45"/>
      <c r="E534" s="45"/>
      <c r="F534" s="45"/>
      <c r="G534" s="45"/>
      <c r="H534" s="45"/>
      <c r="I534" s="114" t="s">
        <v>152</v>
      </c>
      <c r="J534" s="115"/>
      <c r="K534" s="116"/>
      <c r="L534" s="116"/>
      <c r="M534" s="164">
        <f>M535</f>
        <v>250000</v>
      </c>
      <c r="N534" s="173">
        <f>N535</f>
        <v>-250000</v>
      </c>
      <c r="O534" s="173">
        <f t="shared" si="111"/>
        <v>0</v>
      </c>
      <c r="P534" s="30"/>
      <c r="Q534" s="83"/>
      <c r="R534" s="83"/>
    </row>
    <row r="535" spans="1:18" s="2" customFormat="1" ht="18.75" customHeight="1">
      <c r="A535" s="36"/>
      <c r="B535" s="36"/>
      <c r="C535" s="36"/>
      <c r="D535" s="36"/>
      <c r="E535" s="36"/>
      <c r="F535" s="36"/>
      <c r="G535" s="36"/>
      <c r="H535" s="36"/>
      <c r="I535" s="55"/>
      <c r="J535" s="56" t="s">
        <v>313</v>
      </c>
      <c r="K535" s="57"/>
      <c r="L535" s="57"/>
      <c r="M535" s="166">
        <f t="shared" ref="M535:M536" si="121">M536</f>
        <v>250000</v>
      </c>
      <c r="N535" s="166">
        <f>N536</f>
        <v>-250000</v>
      </c>
      <c r="O535" s="166">
        <f t="shared" si="111"/>
        <v>0</v>
      </c>
      <c r="P535" s="38"/>
      <c r="Q535" s="38"/>
      <c r="R535" s="38"/>
    </row>
    <row r="536" spans="1:18" s="2" customFormat="1" ht="18.75" customHeight="1">
      <c r="A536" s="36"/>
      <c r="B536" s="36"/>
      <c r="C536" s="36"/>
      <c r="D536" s="36"/>
      <c r="E536" s="36"/>
      <c r="F536" s="36"/>
      <c r="G536" s="36"/>
      <c r="H536" s="36"/>
      <c r="I536" s="35">
        <v>4</v>
      </c>
      <c r="J536" s="36" t="s">
        <v>11</v>
      </c>
      <c r="K536" s="37" t="e">
        <f>K537</f>
        <v>#REF!</v>
      </c>
      <c r="L536" s="37"/>
      <c r="M536" s="167">
        <f t="shared" si="121"/>
        <v>250000</v>
      </c>
      <c r="N536" s="167">
        <f>N537</f>
        <v>-250000</v>
      </c>
      <c r="O536" s="167">
        <f t="shared" si="111"/>
        <v>0</v>
      </c>
      <c r="P536" s="38"/>
      <c r="Q536" s="38"/>
      <c r="R536" s="38"/>
    </row>
    <row r="537" spans="1:18" s="2" customFormat="1" ht="18.75" customHeight="1">
      <c r="A537" s="36"/>
      <c r="B537" s="36"/>
      <c r="C537" s="36"/>
      <c r="D537" s="36"/>
      <c r="E537" s="36"/>
      <c r="F537" s="36"/>
      <c r="G537" s="36"/>
      <c r="H537" s="36"/>
      <c r="I537" s="35">
        <v>42</v>
      </c>
      <c r="J537" s="36" t="s">
        <v>20</v>
      </c>
      <c r="K537" s="37" t="e">
        <f>#REF!</f>
        <v>#REF!</v>
      </c>
      <c r="L537" s="37"/>
      <c r="M537" s="167">
        <v>250000</v>
      </c>
      <c r="N537" s="167">
        <v>-250000</v>
      </c>
      <c r="O537" s="167">
        <f t="shared" si="111"/>
        <v>0</v>
      </c>
      <c r="P537" s="38"/>
      <c r="Q537" s="38"/>
      <c r="R537" s="38"/>
    </row>
    <row r="538" spans="1:18" s="153" customFormat="1" ht="18.75" customHeight="1">
      <c r="A538" s="150"/>
      <c r="B538" s="150"/>
      <c r="C538" s="150"/>
      <c r="D538" s="150"/>
      <c r="E538" s="150"/>
      <c r="F538" s="150"/>
      <c r="G538" s="150"/>
      <c r="H538" s="150"/>
      <c r="I538" s="146" t="s">
        <v>174</v>
      </c>
      <c r="J538" s="150" t="s">
        <v>175</v>
      </c>
      <c r="K538" s="151"/>
      <c r="L538" s="151"/>
      <c r="M538" s="193">
        <f>M539</f>
        <v>1240747.6299999999</v>
      </c>
      <c r="N538" s="193">
        <f>N539</f>
        <v>-58451.21000000005</v>
      </c>
      <c r="O538" s="193">
        <f t="shared" si="111"/>
        <v>1182296.42</v>
      </c>
      <c r="P538" s="152"/>
      <c r="Q538" s="152"/>
      <c r="R538" s="152"/>
    </row>
    <row r="539" spans="1:18" s="157" customFormat="1" ht="18.75" customHeight="1">
      <c r="A539" s="154"/>
      <c r="B539" s="154"/>
      <c r="C539" s="154"/>
      <c r="D539" s="154"/>
      <c r="E539" s="154"/>
      <c r="F539" s="154"/>
      <c r="G539" s="154"/>
      <c r="H539" s="154"/>
      <c r="I539" s="365" t="s">
        <v>98</v>
      </c>
      <c r="J539" s="365"/>
      <c r="K539" s="155"/>
      <c r="L539" s="155"/>
      <c r="M539" s="194">
        <f>SUM(M540)+M543+M546</f>
        <v>1240747.6299999999</v>
      </c>
      <c r="N539" s="194">
        <f>N540+N543+N546+N549+N552</f>
        <v>-58451.21000000005</v>
      </c>
      <c r="O539" s="194">
        <f>M539+N539</f>
        <v>1182296.42</v>
      </c>
      <c r="P539" s="156"/>
      <c r="Q539" s="156"/>
      <c r="R539" s="156"/>
    </row>
    <row r="540" spans="1:18" s="2" customFormat="1" ht="15.75">
      <c r="A540" s="45"/>
      <c r="B540" s="45"/>
      <c r="C540" s="45"/>
      <c r="D540" s="45"/>
      <c r="E540" s="45"/>
      <c r="F540" s="45"/>
      <c r="G540" s="45"/>
      <c r="H540" s="45"/>
      <c r="I540" s="55"/>
      <c r="J540" s="56" t="s">
        <v>313</v>
      </c>
      <c r="K540" s="57"/>
      <c r="L540" s="57"/>
      <c r="M540" s="166">
        <f t="shared" ref="M540:N540" si="122">M541</f>
        <v>599998</v>
      </c>
      <c r="N540" s="166">
        <f t="shared" si="122"/>
        <v>-418182.02</v>
      </c>
      <c r="O540" s="166">
        <f t="shared" si="111"/>
        <v>181815.97999999998</v>
      </c>
      <c r="P540" s="30"/>
      <c r="Q540" s="83"/>
      <c r="R540" s="83"/>
    </row>
    <row r="541" spans="1:18" s="2" customFormat="1" ht="15.75">
      <c r="A541" s="36"/>
      <c r="B541" s="36"/>
      <c r="C541" s="36"/>
      <c r="D541" s="36"/>
      <c r="E541" s="36"/>
      <c r="F541" s="36"/>
      <c r="G541" s="36"/>
      <c r="H541" s="36"/>
      <c r="I541" s="35">
        <v>4</v>
      </c>
      <c r="J541" s="36" t="s">
        <v>11</v>
      </c>
      <c r="K541" s="37" t="e">
        <f>K542</f>
        <v>#REF!</v>
      </c>
      <c r="L541" s="37"/>
      <c r="M541" s="167">
        <f>M542</f>
        <v>599998</v>
      </c>
      <c r="N541" s="167">
        <f>N542</f>
        <v>-418182.02</v>
      </c>
      <c r="O541" s="167">
        <f t="shared" si="111"/>
        <v>181815.97999999998</v>
      </c>
      <c r="P541" s="38"/>
      <c r="Q541" s="38"/>
      <c r="R541" s="38"/>
    </row>
    <row r="542" spans="1:18" s="2" customFormat="1" ht="18.75" customHeight="1">
      <c r="A542" s="36"/>
      <c r="B542" s="36"/>
      <c r="C542" s="36"/>
      <c r="D542" s="36"/>
      <c r="E542" s="36"/>
      <c r="F542" s="36"/>
      <c r="G542" s="36"/>
      <c r="H542" s="36"/>
      <c r="I542" s="35">
        <v>42</v>
      </c>
      <c r="J542" s="36" t="s">
        <v>20</v>
      </c>
      <c r="K542" s="37" t="e">
        <f>#REF!</f>
        <v>#REF!</v>
      </c>
      <c r="L542" s="37"/>
      <c r="M542" s="167">
        <v>599998</v>
      </c>
      <c r="N542" s="167">
        <v>-418182.02</v>
      </c>
      <c r="O542" s="167">
        <f t="shared" si="111"/>
        <v>181815.97999999998</v>
      </c>
      <c r="P542" s="38"/>
      <c r="Q542" s="38"/>
      <c r="R542" s="38"/>
    </row>
    <row r="543" spans="1:18" s="2" customFormat="1" ht="18.75" customHeight="1">
      <c r="A543" s="36"/>
      <c r="B543" s="36"/>
      <c r="C543" s="36"/>
      <c r="D543" s="36"/>
      <c r="E543" s="36"/>
      <c r="F543" s="36"/>
      <c r="G543" s="36"/>
      <c r="H543" s="36"/>
      <c r="I543" s="55"/>
      <c r="J543" s="56" t="s">
        <v>317</v>
      </c>
      <c r="K543" s="57"/>
      <c r="L543" s="57"/>
      <c r="M543" s="166">
        <f t="shared" ref="M543:M546" si="123">M544</f>
        <v>251435.62</v>
      </c>
      <c r="N543" s="166">
        <f>N544</f>
        <v>94669.59</v>
      </c>
      <c r="O543" s="166">
        <f t="shared" si="111"/>
        <v>346105.20999999996</v>
      </c>
      <c r="P543" s="38"/>
      <c r="Q543" s="38"/>
      <c r="R543" s="38"/>
    </row>
    <row r="544" spans="1:18" s="2" customFormat="1" ht="18.75" customHeight="1">
      <c r="A544" s="36"/>
      <c r="B544" s="36"/>
      <c r="C544" s="36"/>
      <c r="D544" s="36"/>
      <c r="E544" s="36"/>
      <c r="F544" s="36"/>
      <c r="G544" s="36"/>
      <c r="H544" s="36"/>
      <c r="I544" s="35">
        <v>4</v>
      </c>
      <c r="J544" s="36" t="s">
        <v>11</v>
      </c>
      <c r="K544" s="37" t="e">
        <f>K545</f>
        <v>#REF!</v>
      </c>
      <c r="L544" s="37"/>
      <c r="M544" s="167">
        <f t="shared" si="123"/>
        <v>251435.62</v>
      </c>
      <c r="N544" s="167">
        <f>N545</f>
        <v>94669.59</v>
      </c>
      <c r="O544" s="167">
        <f t="shared" si="111"/>
        <v>346105.20999999996</v>
      </c>
      <c r="P544" s="38"/>
      <c r="Q544" s="38"/>
      <c r="R544" s="38"/>
    </row>
    <row r="545" spans="1:18" s="2" customFormat="1" ht="18.75" customHeight="1">
      <c r="A545" s="36"/>
      <c r="B545" s="36"/>
      <c r="C545" s="36"/>
      <c r="D545" s="36"/>
      <c r="E545" s="36"/>
      <c r="F545" s="36"/>
      <c r="G545" s="36"/>
      <c r="H545" s="36"/>
      <c r="I545" s="35">
        <v>42</v>
      </c>
      <c r="J545" s="36" t="s">
        <v>20</v>
      </c>
      <c r="K545" s="37" t="e">
        <f>#REF!</f>
        <v>#REF!</v>
      </c>
      <c r="L545" s="37"/>
      <c r="M545" s="167">
        <v>251435.62</v>
      </c>
      <c r="N545" s="167">
        <v>94669.59</v>
      </c>
      <c r="O545" s="167">
        <f t="shared" si="111"/>
        <v>346105.20999999996</v>
      </c>
      <c r="P545" s="38"/>
      <c r="Q545" s="38"/>
      <c r="R545" s="38"/>
    </row>
    <row r="546" spans="1:18" s="2" customFormat="1" ht="18.75" customHeight="1">
      <c r="A546" s="36"/>
      <c r="B546" s="36"/>
      <c r="C546" s="36"/>
      <c r="D546" s="36"/>
      <c r="E546" s="36"/>
      <c r="F546" s="36"/>
      <c r="G546" s="36"/>
      <c r="H546" s="36"/>
      <c r="I546" s="55"/>
      <c r="J546" s="56" t="s">
        <v>304</v>
      </c>
      <c r="K546" s="57"/>
      <c r="L546" s="57"/>
      <c r="M546" s="166">
        <f t="shared" si="123"/>
        <v>389314.01</v>
      </c>
      <c r="N546" s="166">
        <f>N547</f>
        <v>-31665.43</v>
      </c>
      <c r="O546" s="166">
        <f t="shared" si="111"/>
        <v>357648.58</v>
      </c>
      <c r="P546" s="38"/>
      <c r="Q546" s="38"/>
      <c r="R546" s="38"/>
    </row>
    <row r="547" spans="1:18" s="2" customFormat="1" ht="18.75" customHeight="1">
      <c r="A547" s="36"/>
      <c r="B547" s="36"/>
      <c r="C547" s="36"/>
      <c r="D547" s="36"/>
      <c r="E547" s="36"/>
      <c r="F547" s="36"/>
      <c r="G547" s="36"/>
      <c r="H547" s="36"/>
      <c r="I547" s="35">
        <v>4</v>
      </c>
      <c r="J547" s="36" t="s">
        <v>11</v>
      </c>
      <c r="K547" s="37" t="e">
        <f>K548</f>
        <v>#REF!</v>
      </c>
      <c r="L547" s="37"/>
      <c r="M547" s="167">
        <f>M548</f>
        <v>389314.01</v>
      </c>
      <c r="N547" s="167">
        <f>N548</f>
        <v>-31665.43</v>
      </c>
      <c r="O547" s="167">
        <f t="shared" si="111"/>
        <v>357648.58</v>
      </c>
      <c r="P547" s="38"/>
      <c r="Q547" s="38"/>
      <c r="R547" s="38"/>
    </row>
    <row r="548" spans="1:18" s="2" customFormat="1" ht="18.75" customHeight="1">
      <c r="A548" s="36"/>
      <c r="B548" s="36"/>
      <c r="C548" s="36"/>
      <c r="D548" s="36"/>
      <c r="E548" s="36"/>
      <c r="F548" s="36"/>
      <c r="G548" s="36"/>
      <c r="H548" s="36"/>
      <c r="I548" s="35">
        <v>42</v>
      </c>
      <c r="J548" s="36" t="s">
        <v>20</v>
      </c>
      <c r="K548" s="37" t="e">
        <f>#REF!</f>
        <v>#REF!</v>
      </c>
      <c r="L548" s="37"/>
      <c r="M548" s="167">
        <v>389314.01</v>
      </c>
      <c r="N548" s="167">
        <v>-31665.43</v>
      </c>
      <c r="O548" s="167">
        <f t="shared" si="111"/>
        <v>357648.58</v>
      </c>
      <c r="P548" s="38"/>
      <c r="Q548" s="38"/>
      <c r="R548" s="38"/>
    </row>
    <row r="549" spans="1:18" s="2" customFormat="1" ht="31.5" customHeight="1">
      <c r="A549" s="36"/>
      <c r="B549" s="36"/>
      <c r="C549" s="36"/>
      <c r="D549" s="36"/>
      <c r="E549" s="36"/>
      <c r="F549" s="36"/>
      <c r="G549" s="36"/>
      <c r="H549" s="36"/>
      <c r="I549" s="55"/>
      <c r="J549" s="56" t="s">
        <v>318</v>
      </c>
      <c r="K549" s="57"/>
      <c r="L549" s="57"/>
      <c r="M549" s="166">
        <f t="shared" ref="M549" si="124">M550</f>
        <v>0</v>
      </c>
      <c r="N549" s="166">
        <f>N550</f>
        <v>60690.75</v>
      </c>
      <c r="O549" s="166">
        <f t="shared" ref="O549:O551" si="125">M549+N549</f>
        <v>60690.75</v>
      </c>
      <c r="P549" s="38"/>
      <c r="Q549" s="38"/>
      <c r="R549" s="38"/>
    </row>
    <row r="550" spans="1:18" s="2" customFormat="1" ht="18.75" customHeight="1">
      <c r="A550" s="36"/>
      <c r="B550" s="36"/>
      <c r="C550" s="36"/>
      <c r="D550" s="36"/>
      <c r="E550" s="36"/>
      <c r="F550" s="36"/>
      <c r="G550" s="36"/>
      <c r="H550" s="36"/>
      <c r="I550" s="35">
        <v>4</v>
      </c>
      <c r="J550" s="36" t="s">
        <v>11</v>
      </c>
      <c r="K550" s="37" t="e">
        <f>K551</f>
        <v>#REF!</v>
      </c>
      <c r="L550" s="37"/>
      <c r="M550" s="167">
        <f>M551</f>
        <v>0</v>
      </c>
      <c r="N550" s="167">
        <f>N551</f>
        <v>60690.75</v>
      </c>
      <c r="O550" s="167">
        <f t="shared" si="125"/>
        <v>60690.75</v>
      </c>
      <c r="P550" s="38"/>
      <c r="Q550" s="38"/>
      <c r="R550" s="38"/>
    </row>
    <row r="551" spans="1:18" s="2" customFormat="1" ht="18.75" customHeight="1">
      <c r="A551" s="36"/>
      <c r="B551" s="36"/>
      <c r="C551" s="36"/>
      <c r="D551" s="36"/>
      <c r="E551" s="36"/>
      <c r="F551" s="36"/>
      <c r="G551" s="36"/>
      <c r="H551" s="36"/>
      <c r="I551" s="35">
        <v>42</v>
      </c>
      <c r="J551" s="36" t="s">
        <v>20</v>
      </c>
      <c r="K551" s="37" t="e">
        <f>#REF!</f>
        <v>#REF!</v>
      </c>
      <c r="L551" s="37"/>
      <c r="M551" s="167">
        <v>0</v>
      </c>
      <c r="N551" s="167">
        <v>60690.75</v>
      </c>
      <c r="O551" s="167">
        <f t="shared" si="125"/>
        <v>60690.75</v>
      </c>
      <c r="P551" s="38"/>
      <c r="Q551" s="38"/>
      <c r="R551" s="38"/>
    </row>
    <row r="552" spans="1:18" s="2" customFormat="1" ht="18.75" customHeight="1">
      <c r="A552" s="36"/>
      <c r="B552" s="36"/>
      <c r="C552" s="36"/>
      <c r="D552" s="36"/>
      <c r="E552" s="36"/>
      <c r="F552" s="36"/>
      <c r="G552" s="36"/>
      <c r="H552" s="36"/>
      <c r="I552" s="55"/>
      <c r="J552" s="56" t="s">
        <v>312</v>
      </c>
      <c r="K552" s="57"/>
      <c r="L552" s="57"/>
      <c r="M552" s="166">
        <f t="shared" ref="M552" si="126">M553</f>
        <v>0</v>
      </c>
      <c r="N552" s="166">
        <f>N553</f>
        <v>236035.9</v>
      </c>
      <c r="O552" s="166">
        <f t="shared" ref="O552:O554" si="127">M552+N552</f>
        <v>236035.9</v>
      </c>
      <c r="P552" s="38"/>
      <c r="Q552" s="38"/>
      <c r="R552" s="38"/>
    </row>
    <row r="553" spans="1:18" s="2" customFormat="1" ht="18.75" customHeight="1">
      <c r="A553" s="36"/>
      <c r="B553" s="36"/>
      <c r="C553" s="36"/>
      <c r="D553" s="36"/>
      <c r="E553" s="36"/>
      <c r="F553" s="36"/>
      <c r="G553" s="36"/>
      <c r="H553" s="36"/>
      <c r="I553" s="35">
        <v>4</v>
      </c>
      <c r="J553" s="36" t="s">
        <v>11</v>
      </c>
      <c r="K553" s="37" t="e">
        <f>K554</f>
        <v>#REF!</v>
      </c>
      <c r="L553" s="37"/>
      <c r="M553" s="167">
        <f>M554</f>
        <v>0</v>
      </c>
      <c r="N553" s="167">
        <f>N554</f>
        <v>236035.9</v>
      </c>
      <c r="O553" s="167">
        <f t="shared" si="127"/>
        <v>236035.9</v>
      </c>
      <c r="P553" s="38"/>
      <c r="Q553" s="38"/>
      <c r="R553" s="38"/>
    </row>
    <row r="554" spans="1:18" s="2" customFormat="1" ht="18.75" customHeight="1">
      <c r="A554" s="36"/>
      <c r="B554" s="36"/>
      <c r="C554" s="36"/>
      <c r="D554" s="36"/>
      <c r="E554" s="36"/>
      <c r="F554" s="36"/>
      <c r="G554" s="36"/>
      <c r="H554" s="36"/>
      <c r="I554" s="35">
        <v>42</v>
      </c>
      <c r="J554" s="36" t="s">
        <v>20</v>
      </c>
      <c r="K554" s="37" t="e">
        <f>#REF!</f>
        <v>#REF!</v>
      </c>
      <c r="L554" s="37"/>
      <c r="M554" s="167">
        <v>0</v>
      </c>
      <c r="N554" s="167">
        <v>236035.9</v>
      </c>
      <c r="O554" s="167">
        <f t="shared" si="127"/>
        <v>236035.9</v>
      </c>
      <c r="P554" s="38"/>
      <c r="Q554" s="38"/>
      <c r="R554" s="38"/>
    </row>
    <row r="555" spans="1:18" s="2" customFormat="1" ht="24" customHeight="1">
      <c r="A555" s="36"/>
      <c r="B555" s="36"/>
      <c r="C555" s="36"/>
      <c r="D555" s="36"/>
      <c r="E555" s="36"/>
      <c r="F555" s="36"/>
      <c r="G555" s="36"/>
      <c r="H555" s="36"/>
      <c r="I555" s="146" t="s">
        <v>176</v>
      </c>
      <c r="J555" s="158" t="s">
        <v>307</v>
      </c>
      <c r="K555" s="151"/>
      <c r="L555" s="151"/>
      <c r="M555" s="193">
        <f t="shared" ref="M555:N556" si="128">M556</f>
        <v>0</v>
      </c>
      <c r="N555" s="193">
        <f t="shared" si="128"/>
        <v>0</v>
      </c>
      <c r="O555" s="193">
        <f t="shared" si="111"/>
        <v>0</v>
      </c>
      <c r="P555" s="42"/>
      <c r="Q555" s="42"/>
      <c r="R555" s="42"/>
    </row>
    <row r="556" spans="1:18" s="2" customFormat="1" ht="16.5" customHeight="1">
      <c r="A556" s="36"/>
      <c r="B556" s="36"/>
      <c r="C556" s="36"/>
      <c r="D556" s="36"/>
      <c r="E556" s="36"/>
      <c r="F556" s="36"/>
      <c r="G556" s="36"/>
      <c r="H556" s="36"/>
      <c r="I556" s="365" t="s">
        <v>54</v>
      </c>
      <c r="J556" s="365"/>
      <c r="K556" s="155"/>
      <c r="L556" s="155"/>
      <c r="M556" s="194">
        <f>M557</f>
        <v>0</v>
      </c>
      <c r="N556" s="194">
        <f t="shared" si="128"/>
        <v>0</v>
      </c>
      <c r="O556" s="194">
        <f t="shared" si="111"/>
        <v>0</v>
      </c>
      <c r="P556" s="42"/>
      <c r="Q556" s="42"/>
      <c r="R556" s="42"/>
    </row>
    <row r="557" spans="1:18" s="2" customFormat="1" ht="16.5" customHeight="1">
      <c r="A557" s="36"/>
      <c r="B557" s="36"/>
      <c r="C557" s="36"/>
      <c r="D557" s="36"/>
      <c r="E557" s="36"/>
      <c r="F557" s="36"/>
      <c r="G557" s="36"/>
      <c r="H557" s="36"/>
      <c r="I557" s="55"/>
      <c r="J557" s="56" t="s">
        <v>313</v>
      </c>
      <c r="K557" s="57"/>
      <c r="L557" s="57"/>
      <c r="M557" s="166">
        <f>M558</f>
        <v>0</v>
      </c>
      <c r="N557" s="166">
        <f>N558</f>
        <v>0</v>
      </c>
      <c r="O557" s="166">
        <f t="shared" si="111"/>
        <v>0</v>
      </c>
      <c r="P557" s="42"/>
      <c r="Q557" s="42"/>
      <c r="R557" s="42"/>
    </row>
    <row r="558" spans="1:18" s="2" customFormat="1" ht="16.5" customHeight="1">
      <c r="A558" s="36"/>
      <c r="B558" s="36"/>
      <c r="C558" s="36"/>
      <c r="D558" s="36"/>
      <c r="E558" s="36"/>
      <c r="F558" s="36"/>
      <c r="G558" s="36"/>
      <c r="H558" s="36"/>
      <c r="I558" s="35">
        <v>4</v>
      </c>
      <c r="J558" s="36" t="s">
        <v>11</v>
      </c>
      <c r="K558" s="37" t="e">
        <f>K559</f>
        <v>#REF!</v>
      </c>
      <c r="L558" s="37"/>
      <c r="M558" s="167">
        <f t="shared" ref="M558:N558" si="129">M559</f>
        <v>0</v>
      </c>
      <c r="N558" s="167">
        <f t="shared" si="129"/>
        <v>0</v>
      </c>
      <c r="O558" s="167">
        <f t="shared" si="111"/>
        <v>0</v>
      </c>
      <c r="P558" s="42"/>
      <c r="Q558" s="42"/>
      <c r="R558" s="42"/>
    </row>
    <row r="559" spans="1:18" s="2" customFormat="1" ht="16.5" customHeight="1">
      <c r="A559" s="36"/>
      <c r="B559" s="36"/>
      <c r="C559" s="36"/>
      <c r="D559" s="36"/>
      <c r="E559" s="36"/>
      <c r="F559" s="36"/>
      <c r="G559" s="36"/>
      <c r="H559" s="36"/>
      <c r="I559" s="35">
        <v>42</v>
      </c>
      <c r="J559" s="36" t="s">
        <v>20</v>
      </c>
      <c r="K559" s="37" t="e">
        <f>#REF!</f>
        <v>#REF!</v>
      </c>
      <c r="L559" s="37"/>
      <c r="M559" s="167">
        <v>0</v>
      </c>
      <c r="N559" s="167">
        <v>0</v>
      </c>
      <c r="O559" s="167">
        <f t="shared" si="111"/>
        <v>0</v>
      </c>
      <c r="P559" s="42"/>
      <c r="Q559" s="42"/>
      <c r="R559" s="42"/>
    </row>
    <row r="560" spans="1:18" s="2" customFormat="1" ht="15.75">
      <c r="A560" s="36"/>
      <c r="B560" s="36"/>
      <c r="C560" s="36"/>
      <c r="D560" s="36"/>
      <c r="E560" s="36"/>
      <c r="F560" s="36"/>
      <c r="G560" s="36"/>
      <c r="H560" s="36"/>
      <c r="I560" s="39"/>
      <c r="J560" s="40"/>
      <c r="K560" s="41"/>
      <c r="L560" s="41"/>
      <c r="M560" s="92"/>
      <c r="N560" s="92"/>
      <c r="O560" s="92"/>
      <c r="P560" s="42"/>
      <c r="Q560" s="42"/>
      <c r="R560" s="42"/>
    </row>
    <row r="561" spans="9:15" s="2" customFormat="1" ht="15.75">
      <c r="I561" s="3" t="s">
        <v>145</v>
      </c>
      <c r="J561" s="2" t="s">
        <v>146</v>
      </c>
      <c r="K561" s="2" t="s">
        <v>101</v>
      </c>
      <c r="M561" s="95"/>
      <c r="N561" s="95"/>
      <c r="O561" s="95"/>
    </row>
    <row r="562" spans="9:15" s="2" customFormat="1" ht="15.75">
      <c r="M562" s="95"/>
      <c r="N562" s="95"/>
      <c r="O562" s="95"/>
    </row>
    <row r="563" spans="9:15" s="2" customFormat="1" ht="15.75">
      <c r="J563" s="2" t="s">
        <v>330</v>
      </c>
      <c r="M563" s="95"/>
      <c r="N563" s="95"/>
      <c r="O563" s="95"/>
    </row>
    <row r="564" spans="9:15" s="2" customFormat="1" ht="15.75">
      <c r="M564" s="95"/>
      <c r="N564" s="95"/>
      <c r="O564" s="95"/>
    </row>
    <row r="565" spans="9:15" s="2" customFormat="1" ht="15.75">
      <c r="I565" s="369" t="s">
        <v>341</v>
      </c>
      <c r="J565" s="369"/>
      <c r="K565" s="369"/>
      <c r="L565" s="369"/>
      <c r="M565" s="369"/>
      <c r="N565" s="369"/>
      <c r="O565" s="369"/>
    </row>
    <row r="566" spans="9:15" s="2" customFormat="1" ht="15.75">
      <c r="I566" s="3"/>
      <c r="J566" s="3"/>
      <c r="M566" s="95"/>
      <c r="N566" s="95"/>
      <c r="O566" s="95"/>
    </row>
    <row r="567" spans="9:15" s="2" customFormat="1" ht="15.75">
      <c r="J567" s="3" t="s">
        <v>147</v>
      </c>
      <c r="K567" s="40"/>
      <c r="L567" s="40"/>
      <c r="M567" s="90"/>
      <c r="N567" s="90"/>
      <c r="O567" s="95"/>
    </row>
    <row r="568" spans="9:15" s="2" customFormat="1" ht="15.75">
      <c r="J568" s="2" t="s">
        <v>144</v>
      </c>
      <c r="M568" s="95"/>
      <c r="N568" s="95"/>
      <c r="O568" s="95"/>
    </row>
    <row r="569" spans="9:15" s="2" customFormat="1" ht="15.75">
      <c r="I569" s="363" t="s">
        <v>348</v>
      </c>
      <c r="J569" s="363"/>
      <c r="M569" s="95"/>
      <c r="N569" s="95"/>
      <c r="O569" s="95"/>
    </row>
    <row r="570" spans="9:15" s="2" customFormat="1" ht="15.75">
      <c r="I570" s="363" t="s">
        <v>363</v>
      </c>
      <c r="J570" s="363"/>
      <c r="M570" s="95"/>
      <c r="N570" s="95"/>
      <c r="O570" s="95"/>
    </row>
    <row r="571" spans="9:15" s="2" customFormat="1" ht="15.75">
      <c r="I571" s="2" t="s">
        <v>364</v>
      </c>
      <c r="M571" s="95"/>
      <c r="N571" s="95"/>
      <c r="O571" s="95"/>
    </row>
    <row r="572" spans="9:15" s="2" customFormat="1" ht="15.75">
      <c r="I572" s="88"/>
      <c r="J572" s="3"/>
      <c r="K572" s="43"/>
      <c r="L572" s="43"/>
      <c r="M572" s="195" t="s">
        <v>148</v>
      </c>
      <c r="N572" s="195"/>
      <c r="O572" s="195"/>
    </row>
    <row r="573" spans="9:15" s="2" customFormat="1" ht="15.75">
      <c r="I573" s="88"/>
      <c r="J573" s="88"/>
      <c r="K573" s="88"/>
      <c r="L573" s="88"/>
      <c r="M573" s="196" t="s">
        <v>335</v>
      </c>
      <c r="N573" s="196"/>
      <c r="O573" s="196"/>
    </row>
    <row r="574" spans="9:15" s="2" customFormat="1" ht="15.75">
      <c r="M574" s="95"/>
      <c r="N574" s="95"/>
      <c r="O574" s="212"/>
    </row>
    <row r="575" spans="9:15" s="2" customFormat="1" ht="15.75">
      <c r="M575" s="95"/>
      <c r="N575" s="95"/>
      <c r="O575" s="212"/>
    </row>
    <row r="576" spans="9:15" s="2" customFormat="1" ht="15.75">
      <c r="M576" s="95"/>
      <c r="N576" s="95"/>
      <c r="O576" s="212"/>
    </row>
    <row r="577" spans="6:15" s="2" customFormat="1" ht="15.75">
      <c r="M577" s="95"/>
      <c r="N577" s="95"/>
      <c r="O577" s="212"/>
    </row>
    <row r="578" spans="6:15" s="2" customFormat="1" ht="15.75">
      <c r="M578" s="95"/>
      <c r="N578" s="95"/>
      <c r="O578" s="212"/>
    </row>
    <row r="579" spans="6:15" s="2" customFormat="1" ht="15.75"/>
    <row r="580" spans="6:15" s="2" customFormat="1" ht="15.75"/>
    <row r="581" spans="6:15" s="2" customFormat="1" ht="15.75"/>
    <row r="582" spans="6:15" s="2" customFormat="1" ht="15.75"/>
    <row r="583" spans="6:15" s="2" customFormat="1" ht="15.75"/>
    <row r="584" spans="6:15" s="2" customFormat="1" ht="15.75">
      <c r="I584" s="221"/>
      <c r="J584" s="3"/>
      <c r="M584" s="226"/>
      <c r="N584" s="224"/>
      <c r="O584" s="224"/>
    </row>
    <row r="585" spans="6:15" s="4" customFormat="1">
      <c r="H585" s="108"/>
      <c r="I585" s="220"/>
      <c r="M585" s="222"/>
      <c r="N585" s="225"/>
      <c r="O585" s="223"/>
    </row>
    <row r="586" spans="6:15" s="4" customFormat="1">
      <c r="H586" s="108"/>
      <c r="I586" s="220"/>
      <c r="M586" s="222"/>
      <c r="N586" s="225"/>
      <c r="O586" s="223"/>
    </row>
    <row r="587" spans="6:15" s="4" customFormat="1">
      <c r="H587" s="108"/>
      <c r="I587" s="220"/>
      <c r="M587" s="227"/>
      <c r="N587" s="225"/>
      <c r="O587" s="223"/>
    </row>
    <row r="588" spans="6:15" s="4" customFormat="1" ht="15.75">
      <c r="F588" s="87"/>
      <c r="H588" s="108"/>
      <c r="I588" s="220"/>
      <c r="M588" s="227"/>
      <c r="N588" s="223"/>
      <c r="O588" s="223"/>
    </row>
    <row r="589" spans="6:15" s="4" customFormat="1" ht="15.75">
      <c r="F589" s="87"/>
      <c r="H589" s="108"/>
      <c r="M589" s="222"/>
      <c r="N589" s="228"/>
      <c r="O589" s="228"/>
    </row>
    <row r="590" spans="6:15" s="4" customFormat="1" ht="15.75">
      <c r="F590" s="87"/>
      <c r="H590" s="108"/>
    </row>
    <row r="591" spans="6:15" s="4" customFormat="1" ht="15.75">
      <c r="F591" s="87"/>
      <c r="H591" s="108"/>
    </row>
    <row r="592" spans="6:15" ht="15.75">
      <c r="F592" s="87"/>
      <c r="H592" s="107"/>
      <c r="M592" s="1"/>
      <c r="N592" s="1"/>
      <c r="O592" s="1"/>
    </row>
    <row r="593" s="2" customFormat="1" ht="15.75"/>
    <row r="594" s="1" customFormat="1"/>
    <row r="595" s="1" customFormat="1"/>
    <row r="596" s="1" customFormat="1"/>
    <row r="597" s="1" customFormat="1"/>
    <row r="598" s="1" customFormat="1"/>
    <row r="599" s="1" customFormat="1"/>
  </sheetData>
  <mergeCells count="11">
    <mergeCell ref="I570:J570"/>
    <mergeCell ref="I569:J569"/>
    <mergeCell ref="B64:H64"/>
    <mergeCell ref="B65:H65"/>
    <mergeCell ref="I556:J556"/>
    <mergeCell ref="I539:J539"/>
    <mergeCell ref="I478:J478"/>
    <mergeCell ref="I374:J374"/>
    <mergeCell ref="I354:J354"/>
    <mergeCell ref="I67:J67"/>
    <mergeCell ref="I565:O565"/>
  </mergeCells>
  <pageMargins left="0.70826771653543308" right="0.70826771653543308" top="0.94527559055118116" bottom="0.94527559055118116" header="0.55157480314960605" footer="0.55157480314960605"/>
  <pageSetup paperSize="9" scale="99" fitToWidth="0" fitToHeight="0" orientation="landscape" r:id="rId1"/>
  <headerFooter alignWithMargins="0">
    <oddFooter>&amp;CStranica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31"/>
  <sheetViews>
    <sheetView workbookViewId="0">
      <selection activeCell="B9" sqref="B9"/>
    </sheetView>
  </sheetViews>
  <sheetFormatPr defaultRowHeight="14.25"/>
  <cols>
    <col min="1" max="1" width="27.5" customWidth="1"/>
    <col min="2" max="2" width="16.5" customWidth="1"/>
    <col min="6" max="6" width="17.625" customWidth="1"/>
    <col min="14" max="14" width="18.625" customWidth="1"/>
    <col min="15" max="15" width="17.875" customWidth="1"/>
  </cols>
  <sheetData>
    <row r="5" spans="1:14">
      <c r="A5" t="s">
        <v>352</v>
      </c>
      <c r="B5" t="s">
        <v>360</v>
      </c>
    </row>
    <row r="7" spans="1:14">
      <c r="A7" t="s">
        <v>351</v>
      </c>
      <c r="B7" s="271">
        <v>2600620</v>
      </c>
    </row>
    <row r="8" spans="1:14">
      <c r="A8" t="s">
        <v>353</v>
      </c>
      <c r="B8" s="271">
        <v>781368.17</v>
      </c>
      <c r="M8">
        <v>31</v>
      </c>
      <c r="N8" s="271">
        <f>'POSEBNI_DIO '!O76+'POSEBNI_DIO '!O119+'POSEBNI_DIO '!O133+'POSEBNI_DIO '!O352</f>
        <v>280924.20999999996</v>
      </c>
    </row>
    <row r="9" spans="1:14">
      <c r="A9" t="s">
        <v>354</v>
      </c>
      <c r="B9" s="271">
        <v>1181139.29</v>
      </c>
      <c r="F9" s="271"/>
      <c r="M9">
        <v>32</v>
      </c>
      <c r="N9" s="271">
        <f>'POSEBNI_DIO '!O77+'POSEBNI_DIO '!O95+'POSEBNI_DIO '!O101+'POSEBNI_DIO '!O120+'POSEBNI_DIO '!O138+'POSEBNI_DIO '!O142+'POSEBNI_DIO '!O146+'POSEBNI_DIO '!O150+'POSEBNI_DIO '!O284+'POSEBNI_DIO '!O289+'POSEBNI_DIO '!O400+'POSEBNI_DIO '!O408+'POSEBNI_DIO '!O428+'POSEBNI_DIO '!O435+'POSEBNI_DIO '!O440+'POSEBNI_DIO '!O446+'POSEBNI_DIO '!O454+'POSEBNI_DIO '!O466</f>
        <v>596813.10999999987</v>
      </c>
    </row>
    <row r="10" spans="1:14">
      <c r="A10" t="s">
        <v>355</v>
      </c>
      <c r="B10" s="271">
        <v>236549.7</v>
      </c>
      <c r="M10">
        <v>34</v>
      </c>
      <c r="N10" s="271">
        <f>'POSEBNI_DIO '!O154</f>
        <v>17704.46</v>
      </c>
    </row>
    <row r="11" spans="1:14">
      <c r="A11" t="s">
        <v>356</v>
      </c>
      <c r="B11" s="271">
        <v>722915.93</v>
      </c>
      <c r="M11">
        <v>35</v>
      </c>
      <c r="N11" s="271">
        <f>'POSEBNI_DIO '!O81+'POSEBNI_DIO '!O471+'POSEBNI_DIO '!O474</f>
        <v>36898.47</v>
      </c>
    </row>
    <row r="12" spans="1:14">
      <c r="B12" s="271">
        <f>B8+B9+B10+B11+B7</f>
        <v>5522593.0899999999</v>
      </c>
      <c r="M12">
        <v>36</v>
      </c>
      <c r="N12" s="271">
        <f>'POSEBNI_DIO '!O82+'POSEBNI_DIO '!O248+'POSEBNI_DIO '!O253+'POSEBNI_DIO '!O297+'POSEBNI_DIO '!O303</f>
        <v>463592.68</v>
      </c>
    </row>
    <row r="13" spans="1:14">
      <c r="A13" t="s">
        <v>357</v>
      </c>
      <c r="M13">
        <v>37</v>
      </c>
      <c r="N13" s="271">
        <f>'POSEBNI_DIO '!O160+'POSEBNI_DIO '!O163+'POSEBNI_DIO '!O168+'POSEBNI_DIO '!O171+'POSEBNI_DIO '!O176+'POSEBNI_DIO '!O250+'POSEBNI_DIO '!O331+'POSEBNI_DIO '!O336</f>
        <v>185681.12</v>
      </c>
    </row>
    <row r="14" spans="1:14">
      <c r="M14">
        <v>38</v>
      </c>
      <c r="N14" s="271">
        <f>'POSEBNI_DIO '!O83+'POSEBNI_DIO '!O90+'POSEBNI_DIO '!O111+'POSEBNI_DIO '!O332+'POSEBNI_DIO '!O341+'POSEBNI_DIO '!O377+'POSEBNI_DIO '!O382+'POSEBNI_DIO '!O389+'POSEBNI_DIO '!O395+'POSEBNI_DIO '!O416+'POSEBNI_DIO '!O420</f>
        <v>419821.16000000003</v>
      </c>
    </row>
    <row r="15" spans="1:14">
      <c r="A15" t="s">
        <v>351</v>
      </c>
      <c r="B15" s="271">
        <f>'POSEBNI_DIO '!O74+'POSEBNI_DIO '!O99+'POSEBNI_DIO '!O109+'POSEBNI_DIO '!O117+'POSEBNI_DIO '!O136+'POSEBNI_DIO '!O140+'POSEBNI_DIO '!O144+'POSEBNI_DIO '!O148+'POSEBNI_DIO '!O152+'POSEBNI_DIO '!O161+'POSEBNI_DIO '!O169+'POSEBNI_DIO '!O177+'POSEBNI_DIO '!O182+'POSEBNI_DIO '!O201+'POSEBNI_DIO '!O220+'POSEBNI_DIO '!O233+'POSEBNI_DIO '!O246+'POSEBNI_DIO '!O287+'POSEBNI_DIO '!O295+'POSEBNI_DIO '!O307+'POSEBNI_DIO '!O329+'POSEBNI_DIO '!O339+'POSEBNI_DIO '!O365+'POSEBNI_DIO '!O375+'POSEBNI_DIO '!O380+'POSEBNI_DIO '!O387+'POSEBNI_DIO '!O393+'POSEBNI_DIO '!O398+'POSEBNI_DIO '!O406+'POSEBNI_DIO '!O414+'POSEBNI_DIO '!O418+'POSEBNI_DIO '!O448+'POSEBNI_DIO '!O458+'POSEBNI_DIO '!O475+'POSEBNI_DIO '!O481+'POSEBNI_DIO '!O525+'POSEBNI_DIO '!O552</f>
        <v>2600620</v>
      </c>
      <c r="M15">
        <v>41</v>
      </c>
      <c r="N15" s="271">
        <f>'POSEBNI_DIO '!O184</f>
        <v>15000</v>
      </c>
    </row>
    <row r="16" spans="1:14">
      <c r="A16" t="s">
        <v>353</v>
      </c>
      <c r="B16" s="271">
        <f>'POSEBNI_DIO '!O209+'POSEBNI_DIO '!O426+'POSEBNI_DIO '!O433+'POSEBNI_DIO '!O438+'POSEBNI_DIO '!O444+'POSEBNI_DIO '!O452+'POSEBNI_DIO '!O484+'POSEBNI_DIO '!O495+'POSEBNI_DIO '!O511+'POSEBNI_DIO '!O546</f>
        <v>781368.17</v>
      </c>
      <c r="M16">
        <v>42</v>
      </c>
      <c r="N16" s="271" t="e">
        <f>'POSEBNI_DIO '!O85+'POSEBNI_DIO '!O185+'POSEBNI_DIO '!#REF!+'POSEBNI_DIO '!#REF!+'POSEBNI_DIO '!O189+'POSEBNI_DIO '!O194+'POSEBNI_DIO '!O197+'POSEBNI_DIO '!O200+'POSEBNI_DIO '!O208+'POSEBNI_DIO '!O211+'POSEBNI_DIO '!O214+'POSEBNI_DIO '!#REF!+'POSEBNI_DIO '!O219+'POSEBNI_DIO '!#REF!+'POSEBNI_DIO '!O227+'POSEBNI_DIO '!O230+'POSEBNI_DIO '!#REF!+'POSEBNI_DIO '!#REF!+'POSEBNI_DIO '!O235+'POSEBNI_DIO '!#REF!+'POSEBNI_DIO '!#REF!+'POSEBNI_DIO '!O240+'POSEBNI_DIO '!O258+'POSEBNI_DIO '!O261+'POSEBNI_DIO '!O264+'POSEBNI_DIO '!#REF!+'POSEBNI_DIO '!O269+'POSEBNI_DIO '!O274+'POSEBNI_DIO '!O279+'POSEBNI_DIO '!O286+'POSEBNI_DIO '!O291+'POSEBNI_DIO '!O357+'POSEBNI_DIO '!O360+'POSEBNI_DIO '!O367+'POSEBNI_DIO '!#REF!+'POSEBNI_DIO '!O405+'POSEBNI_DIO '!O410+'POSEBNI_DIO '!O483+'POSEBNI_DIO '!O486+'POSEBNI_DIO '!O489+'POSEBNI_DIO '!#REF!+'POSEBNI_DIO '!O494+'POSEBNI_DIO '!O497+'POSEBNI_DIO '!O502+'POSEBNI_DIO '!O505+'POSEBNI_DIO '!O510+'POSEBNI_DIO '!O513+'POSEBNI_DIO '!#REF!+'POSEBNI_DIO '!O518+'POSEBNI_DIO '!O521+'POSEBNI_DIO '!O524+'POSEBNI_DIO '!O532+'POSEBNI_DIO '!#REF!+'POSEBNI_DIO '!O537+'POSEBNI_DIO '!O542+'POSEBNI_DIO '!O545+'POSEBNI_DIO '!O548+'POSEBNI_DIO '!O559</f>
        <v>#REF!</v>
      </c>
    </row>
    <row r="17" spans="1:14">
      <c r="A17" t="s">
        <v>354</v>
      </c>
      <c r="B17" s="271">
        <f>'POSEBNI_DIO '!O95+'POSEBNI_DIO '!O131+'POSEBNI_DIO '!O187+'POSEBNI_DIO '!O195+'POSEBNI_DIO '!O206+'POSEBNI_DIO '!O251+'POSEBNI_DIO '!O282+'POSEBNI_DIO '!O334+'POSEBNI_DIO '!O350+'POSEBNI_DIO '!O403+'POSEBNI_DIO '!O472+'POSEBNI_DIO '!O487+'POSEBNI_DIO '!O508+'POSEBNI_DIO '!O522+'POSEBNI_DIO '!O540</f>
        <v>1181139.29</v>
      </c>
      <c r="M17">
        <v>45</v>
      </c>
      <c r="N17" s="271">
        <f>'POSEBNI_DIO '!O186</f>
        <v>10617.82</v>
      </c>
    </row>
    <row r="18" spans="1:14">
      <c r="A18" t="s">
        <v>355</v>
      </c>
      <c r="B18" s="271">
        <f>'POSEBNI_DIO '!O88+'POSEBNI_DIO '!O549</f>
        <v>236549.7</v>
      </c>
      <c r="M18">
        <v>51</v>
      </c>
      <c r="N18" s="271">
        <f>'POSEBNI_DIO '!O309</f>
        <v>15926.739999999998</v>
      </c>
    </row>
    <row r="19" spans="1:14">
      <c r="A19" t="s">
        <v>356</v>
      </c>
      <c r="B19" s="271">
        <f>'POSEBNI_DIO '!O192+'POSEBNI_DIO '!O519+'POSEBNI_DIO '!O543+'POSEBNI_DIO '!O322</f>
        <v>722915.93</v>
      </c>
      <c r="M19">
        <v>54</v>
      </c>
      <c r="N19" s="272" t="e">
        <f>'POSEBNI_DIO '!O87+'POSEBNI_DIO '!#REF!</f>
        <v>#REF!</v>
      </c>
    </row>
    <row r="20" spans="1:14">
      <c r="B20" s="271">
        <f>B15+B16+B17+B18+B19</f>
        <v>5522593.0899999999</v>
      </c>
      <c r="N20" s="271" t="e">
        <f>N8+N9+N10+N11+N12+N13+N14+N15+N16+N17+N18+N19</f>
        <v>#REF!</v>
      </c>
    </row>
    <row r="25" spans="1:14">
      <c r="B25" t="s">
        <v>361</v>
      </c>
    </row>
    <row r="26" spans="1:14">
      <c r="A26" t="s">
        <v>362</v>
      </c>
    </row>
    <row r="27" spans="1:14">
      <c r="A27">
        <v>1</v>
      </c>
      <c r="B27" s="271">
        <f>'POSEBNI_DIO '!M74+'POSEBNI_DIO '!M99+'POSEBNI_DIO '!M109+'POSEBNI_DIO '!M117+'POSEBNI_DIO '!M136+'POSEBNI_DIO '!M140+'POSEBNI_DIO '!M144+'POSEBNI_DIO '!M148+'POSEBNI_DIO '!M152+'POSEBNI_DIO '!M182+'POSEBNI_DIO '!M212+'POSEBNI_DIO '!M233+'POSEBNI_DIO '!M246+'POSEBNI_DIO '!M262+'POSEBNI_DIO '!M287+'POSEBNI_DIO '!M295+'POSEBNI_DIO '!M301+'POSEBNI_DIO '!M307+'POSEBNI_DIO '!M329+'POSEBNI_DIO '!M339+'POSEBNI_DIO '!M355+'POSEBNI_DIO '!M365+'POSEBNI_DIO '!M375+'POSEBNI_DIO '!M380+'POSEBNI_DIO '!M387+'POSEBNI_DIO '!M393+'POSEBNI_DIO '!M398+'POSEBNI_DIO '!M406+'POSEBNI_DIO '!M414+'POSEBNI_DIO '!M418+'POSEBNI_DIO '!M448+'POSEBNI_DIO '!M503</f>
        <v>2483531.0699999998</v>
      </c>
    </row>
    <row r="28" spans="1:14">
      <c r="A28">
        <v>4</v>
      </c>
      <c r="B28" s="271">
        <v>2177412.9500000002</v>
      </c>
    </row>
    <row r="29" spans="1:14">
      <c r="A29">
        <v>5</v>
      </c>
      <c r="B29" s="271">
        <f>'POSEBNI_DIO '!M93+'POSEBNI_DIO '!M131+'POSEBNI_DIO '!M187+'POSEBNI_DIO '!M195+'POSEBNI_DIO '!M206+'POSEBNI_DIO '!M228+'POSEBNI_DIO '!M238+'POSEBNI_DIO '!M251+'POSEBNI_DIO '!M259+'POSEBNI_DIO '!M282+'POSEBNI_DIO '!M334+'POSEBNI_DIO '!M350+'POSEBNI_DIO '!M403+'POSEBNI_DIO '!M429+'POSEBNI_DIO '!M461+'POSEBNI_DIO '!M487+'POSEBNI_DIO '!M508+'POSEBNI_DIO '!M522+'POSEBNI_DIO '!M535+'POSEBNI_DIO '!M540+'POSEBNI_DIO '!M557</f>
        <v>2529690.6399999997</v>
      </c>
    </row>
    <row r="30" spans="1:14">
      <c r="A30">
        <v>7</v>
      </c>
      <c r="B30" s="271">
        <f>'POSEBNI_DIO '!M88+'POSEBNI_DIO '!M158+'POSEBNI_DIO '!M166+'POSEBNI_DIO '!M174+'POSEBNI_DIO '!M267+'POSEBNI_DIO '!M358+'POSEBNI_DIO '!M469+'POSEBNI_DIO '!M464</f>
        <v>192157.44</v>
      </c>
    </row>
    <row r="31" spans="1:14">
      <c r="B31" s="271">
        <f>B27+B28+B29+B30</f>
        <v>7382792.0999999996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1176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OPĆI_DIO</vt:lpstr>
      <vt:lpstr>OPĆI DIO </vt:lpstr>
      <vt:lpstr>OPĆI DIO</vt:lpstr>
      <vt:lpstr>OPĆI_DIO_B</vt:lpstr>
      <vt:lpstr>POSEBNI_DIO </vt:lpstr>
      <vt:lpstr>List2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</dc:creator>
  <cp:lastModifiedBy>korisnik</cp:lastModifiedBy>
  <cp:revision>7</cp:revision>
  <cp:lastPrinted>2025-12-16T11:42:38Z</cp:lastPrinted>
  <dcterms:created xsi:type="dcterms:W3CDTF">2013-11-05T08:12:26Z</dcterms:created>
  <dcterms:modified xsi:type="dcterms:W3CDTF">2025-12-16T11:42:47Z</dcterms:modified>
</cp:coreProperties>
</file>